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60" windowHeight="9045" tabRatio="595" activeTab="0"/>
  </bookViews>
  <sheets>
    <sheet name="прил 5" sheetId="1" r:id="rId1"/>
    <sheet name="прил 6" sheetId="2" r:id="rId2"/>
  </sheets>
  <externalReferences>
    <externalReference r:id="rId5"/>
  </externalReferences>
  <definedNames>
    <definedName name="_xlnm.Print_Titles" localSheetId="1">'прил 6'!$12:$14</definedName>
    <definedName name="_xlnm.Print_Area" localSheetId="0">'прил 5'!$A$1:$D$64</definedName>
  </definedNames>
  <calcPr fullCalcOnLoad="1"/>
</workbook>
</file>

<file path=xl/sharedStrings.xml><?xml version="1.0" encoding="utf-8"?>
<sst xmlns="http://schemas.openxmlformats.org/spreadsheetml/2006/main" count="1515" uniqueCount="303">
  <si>
    <t>по разделам, подразделам функциональной классификации</t>
  </si>
  <si>
    <t>расходов бюджетов Российской Федерации</t>
  </si>
  <si>
    <t>Сумма, тыс.рублей</t>
  </si>
  <si>
    <t>Наименование</t>
  </si>
  <si>
    <t>Раздел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</si>
  <si>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</si>
  <si>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</si>
  <si>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</si>
  <si>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</si>
  <si>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</si>
  <si>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</si>
  <si>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</si>
  <si>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надзора</t>
  </si>
  <si>
    <t>06</t>
  </si>
  <si>
    <t>Обеспечение проведения выборов и референдумов</t>
  </si>
  <si>
    <t>07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</si>
  <si>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</si>
  <si>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</si>
  <si>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</si>
  <si>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</si>
  <si>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09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</si>
  <si>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</si>
  <si>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</si>
  <si>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</si>
  <si>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05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</si>
  <si>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</si>
  <si>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</si>
  <si>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</si>
  <si>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</si>
  <si>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</si>
  <si>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</si>
  <si>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</si>
  <si>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08</t>
  </si>
  <si>
    <t xml:space="preserve">Культура </t>
  </si>
  <si>
    <t>Другие вопросы в области культуры, кинематографии и средств массовой информации</t>
  </si>
  <si>
    <t>Спорт и физическая культура</t>
  </si>
  <si>
    <t xml:space="preserve">Социальная политика </t>
  </si>
  <si>
    <t>Пенсионное обеспечение</t>
  </si>
  <si>
    <t>Социальное обеспечение населения</t>
  </si>
  <si>
    <t>Меры социальной поддержки граждан</t>
  </si>
  <si>
    <t>Межбюджетные трансферты</t>
  </si>
  <si>
    <t>Финансовая помощь бюджетам других уровней</t>
  </si>
  <si>
    <t>В С Е Г О</t>
  </si>
  <si>
    <t>Целевая статья</t>
  </si>
  <si>
    <t>Проведение выборов и референдумов</t>
  </si>
  <si>
    <t>12</t>
  </si>
  <si>
    <t>Глава</t>
  </si>
  <si>
    <t>Жилищное хозяйство</t>
  </si>
  <si>
    <t>10</t>
  </si>
  <si>
    <t>Культура, кинематография и средства массовой информации</t>
  </si>
  <si>
    <t>Глава муниципального образования</t>
  </si>
  <si>
    <t>Расходы на осуществление государственных полномочий по созданию и функционированию административных комиссий</t>
  </si>
  <si>
    <t>Национальная оборона</t>
  </si>
  <si>
    <t>Мобилизационная и вневойсковая подготовка</t>
  </si>
  <si>
    <t>Благоустройство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</si>
  <si>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</si>
  <si>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</si>
  <si>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Проведение выборов главы муниципального образования</t>
  </si>
  <si>
    <t>Обеспечение пожарной безопасности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</si>
  <si>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</si>
  <si>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Федерации, муниципальных служащих</t>
  </si>
  <si>
    <t xml:space="preserve">Национальная экономика  </t>
  </si>
  <si>
    <t>к Решению муниципального Совета</t>
  </si>
  <si>
    <t>Председатель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</si>
  <si>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</si>
  <si>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819</t>
  </si>
  <si>
    <t>Подраздел</t>
  </si>
  <si>
    <t>Мероприятия по землеустройству и землепользованию</t>
  </si>
  <si>
    <t>Мероприятия по предупреждению и ликвидации последствий чрезвычайных ситуаций и стихийных бедствий</t>
  </si>
  <si>
    <t>Защита населения и территории от чрезвычайных ситуаций природного и техногенного характера, гражданская оборона</t>
  </si>
  <si>
    <t>11</t>
  </si>
  <si>
    <t>13</t>
  </si>
  <si>
    <t>Массовый спорт</t>
  </si>
  <si>
    <t>Физическая культура и спорт</t>
  </si>
  <si>
    <t>Субсидии на компенсацию участникам программы уплаченных процентов по целевым кредитам, не превышающих ставку рефинансирования, установленную ЦБ РФ</t>
  </si>
  <si>
    <t>Дорожное хозяйство (дорожные фонды)</t>
  </si>
  <si>
    <t>глава</t>
  </si>
  <si>
    <t>Раз-дел</t>
  </si>
  <si>
    <t>Под-раз-дел</t>
  </si>
  <si>
    <t>Вид рас-ходов</t>
  </si>
  <si>
    <t>сумма тыс. руб.</t>
  </si>
  <si>
    <t>768</t>
  </si>
  <si>
    <t>Функционирование высшего должностного лица субъекта Российской Федерации и муниципального образования</t>
  </si>
  <si>
    <t>Расходы на содержание органов местного самоуправления и обеспечение их функций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</si>
  <si>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</si>
  <si>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содержание  органов местного самоуправления и обеспечение их функций</t>
  </si>
  <si>
    <t>Обеспечение деятельности органов местного самоуправления</t>
  </si>
  <si>
    <t>Иные бюджетные ассигнования</t>
  </si>
  <si>
    <t>800</t>
  </si>
  <si>
    <t>Осуществление первичного воинского учета</t>
  </si>
  <si>
    <t>Расходы в области национальной безопасности и правоохранительной деятельности</t>
  </si>
  <si>
    <t>Мероприятия в сфере обеспечения пожарной безопасности, осуществляемые органами местного самоуправления</t>
  </si>
  <si>
    <t>Расходы в области жилищно-коммунального хозяйства</t>
  </si>
  <si>
    <t>Мероприятия  в области жилищного хозяйства</t>
  </si>
  <si>
    <t>Мероприятия  в области коммунального хозяйства</t>
  </si>
  <si>
    <t>Мероприятия в области физической культуры и спорта</t>
  </si>
  <si>
    <t>Культура</t>
  </si>
  <si>
    <t>ВСЕГО</t>
  </si>
  <si>
    <t xml:space="preserve">к Решению муниципального Совета </t>
  </si>
  <si>
    <t>Администрация МО "Савинское"</t>
  </si>
  <si>
    <t>121</t>
  </si>
  <si>
    <t>120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</si>
  <si>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</si>
  <si>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</si>
  <si>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Обеспечение деятельности представительного органа муниципального образования</t>
  </si>
  <si>
    <t>Обеспечение функционирования главы муниципального образования</t>
  </si>
  <si>
    <t>123</t>
  </si>
  <si>
    <t xml:space="preserve">Иные выплаты персоналу государственных (муниципальных) органов, за исключением фонда оплаты труда </t>
  </si>
  <si>
    <t>122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</si>
  <si>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</si>
  <si>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</si>
  <si>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</si>
  <si>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</si>
  <si>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Уплата налогов, сборов и иных платежей</t>
  </si>
  <si>
    <t>850</t>
  </si>
  <si>
    <t>56 0 0000</t>
  </si>
  <si>
    <t>56 1 0000</t>
  </si>
  <si>
    <t>Специальные расходы</t>
  </si>
  <si>
    <t>880</t>
  </si>
  <si>
    <t>Резервные средства</t>
  </si>
  <si>
    <t>870</t>
  </si>
  <si>
    <t>Депутаты представительного органа муниципального образования</t>
  </si>
  <si>
    <t>Расходы в области национальной экономики</t>
  </si>
  <si>
    <t>Расходы в области коммунального хозяйства</t>
  </si>
  <si>
    <t>Мероприятия  в области уличного освещения</t>
  </si>
  <si>
    <t>Мероприятия в области организации и содержании мест захоронений</t>
  </si>
  <si>
    <t>Расходы в области благоустройства территорий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</si>
  <si>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</si>
  <si>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610</t>
  </si>
  <si>
    <t>611</t>
  </si>
  <si>
    <t>Социальная политика</t>
  </si>
  <si>
    <t>Долгосрочная целевая программа Архангельской области"Активизация индивидуального жилищного строительства в Архангельской области"на 2009-2014годы</t>
  </si>
  <si>
    <t>Иные выплаты населению</t>
  </si>
  <si>
    <t>360</t>
  </si>
  <si>
    <t>300</t>
  </si>
  <si>
    <t xml:space="preserve">Социальное обеспечение и иные выплаты населению
</t>
  </si>
  <si>
    <t xml:space="preserve"> "Градостроительное развитие Архангельской области на 2014 год"</t>
  </si>
  <si>
    <t>56 1 9002</t>
  </si>
  <si>
    <t>67 0 0000</t>
  </si>
  <si>
    <t>67 1 9001</t>
  </si>
  <si>
    <t>66 0 0000</t>
  </si>
  <si>
    <t>66 1 9001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</si>
  <si>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</si>
  <si>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Осуществление государственных полномочий в сфере административных правонарушений</t>
  </si>
  <si>
    <t>Охрана семьи и детства</t>
  </si>
  <si>
    <t>Бюджетные инвестиции на приобретение объектов недвижимого имущества в государственную (муниципальную) собственность</t>
  </si>
  <si>
    <t>400</t>
  </si>
  <si>
    <t>412</t>
  </si>
  <si>
    <t>67 1 9000</t>
  </si>
  <si>
    <t>Бюджетные инвестиции</t>
  </si>
  <si>
    <t>Обеспечение жилыми помещениями</t>
  </si>
  <si>
    <t>Частичное возмещение расходов по предоставлению мер социальной поддержки квалифицированных специалистовучреждений,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</si>
  <si>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Субсидии бюджетным учреждениям на иные цели</t>
  </si>
  <si>
    <t>612</t>
  </si>
  <si>
    <t>Приложение №5</t>
  </si>
  <si>
    <t>Расходы на выплату персоналу государственных(муниципальных) оранов</t>
  </si>
  <si>
    <t>51 0 00 00000</t>
  </si>
  <si>
    <t>51 1 00 00000</t>
  </si>
  <si>
    <t>51 1 00 90010</t>
  </si>
  <si>
    <t>52 0 00 00000</t>
  </si>
  <si>
    <t>52 1 00 00000</t>
  </si>
  <si>
    <t>52 1 00 90010</t>
  </si>
  <si>
    <t xml:space="preserve">Муниципальная программа "Энергосбережение и повышение энергетической эффективности муниципального образования "Савинское" на 2016-2018 годы" </t>
  </si>
  <si>
    <t xml:space="preserve"> Закупка товаров, работ и услуг для обеспечения государственных(муниципальных) нужд</t>
  </si>
  <si>
    <t>Иные закупки товаров, работ и услуг для обеспечения государственных(муниципальных) нужд</t>
  </si>
  <si>
    <t>02 0 00 00000</t>
  </si>
  <si>
    <t>02 0 00 90011</t>
  </si>
  <si>
    <t>200</t>
  </si>
  <si>
    <t>02 0 00 90012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</si>
  <si>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</si>
  <si>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Перечисления другим бюджетам бюджетной системы Российской Федерации</t>
  </si>
  <si>
    <t>55 1 00 90010</t>
  </si>
  <si>
    <t>54 1 00 90010</t>
  </si>
  <si>
    <t>500</t>
  </si>
  <si>
    <t>56 1 00 90010</t>
  </si>
  <si>
    <t>Резервные фонды местных администраций</t>
  </si>
  <si>
    <t>57 1 00 90010</t>
  </si>
  <si>
    <t>Реализация мероприятий по энергосбережению и повышению энергетической эффективности МО "Савинское" (теплоэнергия)</t>
  </si>
  <si>
    <t>Реализация мероприятий по энергосбережению и повышению энергетической эффективности МО "Савинское" (электроснабжение)</t>
  </si>
  <si>
    <t>58 1 00 90010</t>
  </si>
  <si>
    <t>Расходы на обеспечение деятельности исполнительных органов местного самоуправления</t>
  </si>
  <si>
    <t>61 1 00 00000</t>
  </si>
  <si>
    <t>61 1 00 90010</t>
  </si>
  <si>
    <t>Расходы в области обеспечения пожарной безопасности, осуществляемые органами местного самоуправления</t>
  </si>
  <si>
    <t>62 1 00 00000</t>
  </si>
  <si>
    <t>62 1 00 90010</t>
  </si>
  <si>
    <t>Закупка товаров, работ и услуг для обеспечения государственных (муниципальных) нужд</t>
  </si>
  <si>
    <t>01 0 00 00000</t>
  </si>
  <si>
    <t>01 0 00 90011</t>
  </si>
  <si>
    <t xml:space="preserve"> 02 0 00 00000</t>
  </si>
  <si>
    <t xml:space="preserve"> 02 0 00 90012</t>
  </si>
  <si>
    <t>63 1 00 90010</t>
  </si>
  <si>
    <t>Закупка товаров, работ, услуг в целях капитального ремонта государственного (муниципального) имущества</t>
  </si>
  <si>
    <t>243</t>
  </si>
  <si>
    <t>64 0 00 00000</t>
  </si>
  <si>
    <t>64 1 00 90010</t>
  </si>
  <si>
    <t>65 1 00 00000</t>
  </si>
  <si>
    <t>65 1 00 90011</t>
  </si>
  <si>
    <t>65 1 00 90012</t>
  </si>
  <si>
    <t>Мероприятия в области благоустройства территорий</t>
  </si>
  <si>
    <t>65 1 00 90013</t>
  </si>
  <si>
    <t>67 1 00 00000</t>
  </si>
  <si>
    <t>67 1 00 90010</t>
  </si>
  <si>
    <t>Другие вопросы в области социальной политики</t>
  </si>
  <si>
    <t>Расходы в области социальной политики</t>
  </si>
  <si>
    <t>Мероприятия в области социальной политики</t>
  </si>
  <si>
    <t>68 1 00 90010</t>
  </si>
  <si>
    <t>Расходы в области физкультуры и спорта</t>
  </si>
  <si>
    <t>69 1 00 00000</t>
  </si>
  <si>
    <t>69 1 00 90010</t>
  </si>
  <si>
    <t>Предоставление субсидий бюджетным, автономным учреждениям и иным некомерческим организациями</t>
  </si>
  <si>
    <t>Наименование показателя</t>
  </si>
  <si>
    <t>53 1 00 90010</t>
  </si>
  <si>
    <t>66 1 00 90011</t>
  </si>
  <si>
    <t>830</t>
  </si>
  <si>
    <t>Исполнение судебных актов</t>
  </si>
  <si>
    <t>60 1 00 00000</t>
  </si>
  <si>
    <t>60 1 00 90010</t>
  </si>
  <si>
    <t>54 1 00 78680</t>
  </si>
  <si>
    <t>Капитальные вложения в объекты государственной (муниципальной) собственности</t>
  </si>
  <si>
    <t>312</t>
  </si>
  <si>
    <t>Иные пенсии, социальные доплаты к пенсиям</t>
  </si>
  <si>
    <t>59 1 00 51180</t>
  </si>
  <si>
    <t>59 0 00 00000</t>
  </si>
  <si>
    <t>540</t>
  </si>
  <si>
    <t>Иные межбюджетные трансферты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</si>
  <si>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</si>
  <si>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</si>
  <si>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Закупка товаров, работ и услуг для обеспечения государственных(муниципальных) нужд</t>
  </si>
  <si>
    <t>Прочая закупка товаров, работ и услуг для обеспечения го сударственных (муниципальных) нужд</t>
  </si>
  <si>
    <t>Расходы на выплату персоналу государственных(муниципальных) органов</t>
  </si>
  <si>
    <t>Расходы на исполнение судебных актов по обращению взыскания на средства бюджета муниципального образования</t>
  </si>
  <si>
    <t>Прочие выплаты по обязательствам муниципального образования</t>
  </si>
  <si>
    <t>70 0 00 00000</t>
  </si>
  <si>
    <t>70 1 00 90010</t>
  </si>
  <si>
    <t>70 1  0090010</t>
  </si>
  <si>
    <t>321</t>
  </si>
  <si>
    <t>320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</si>
  <si>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</si>
  <si>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</si>
  <si>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70 1 00 88230</t>
  </si>
  <si>
    <t>Иные межбюджетные трансферты на софинансирование вопросов местного значения</t>
  </si>
  <si>
    <t>70 1  00 88230</t>
  </si>
  <si>
    <t>Муниципальная программа МО "Савинское" "Развитие дорожной сети муниципального образования "Савинское" на 2016-2018 годы"</t>
  </si>
  <si>
    <t>Мероприятия по капитальному ремонту, ремонту и  содержанию автомобильных дорог, расположенных на территории МО "Савинское"</t>
  </si>
  <si>
    <t>01 0 00 90012</t>
  </si>
  <si>
    <t>Муниципальная программа МО "Савинское" "Повышение безопасности дорожного движения муниципального образования "Савинское" на 2016-2018 годы"</t>
  </si>
  <si>
    <t>110</t>
  </si>
  <si>
    <t>Расходы на выплату персоналу казенных учреждений</t>
  </si>
  <si>
    <t>63 1 00 90000</t>
  </si>
  <si>
    <t>Расходы  в области жилищного хозяйства</t>
  </si>
  <si>
    <t>03 0 00 90010</t>
  </si>
  <si>
    <t>04 0 00 90010</t>
  </si>
  <si>
    <t>Непрограммные мероприятия в области благоустройства</t>
  </si>
  <si>
    <t>Муниципальная программа МО "Савинское" "Развитие культуры муниципального образования "Савинское" на 2018-2020 годы"</t>
  </si>
  <si>
    <t>05 0 00 00000</t>
  </si>
  <si>
    <t>05 0 00 90011</t>
  </si>
  <si>
    <t>Софинансирование в рамках муниципальной программы МО "Савинское" "Развитие культуры муниципального образования "Савинское" на 2018-2020 годы"</t>
  </si>
  <si>
    <t>05 0 00 90012</t>
  </si>
  <si>
    <t>04 0 00 00000</t>
  </si>
  <si>
    <t>Муниципальная программа МО "Савинское" "Повышение эффективности использования и охраны земель на территории муниципального образования "Савинское" на 2017-2019 годы"</t>
  </si>
  <si>
    <t>Реализация мероприятий по муниципальной программе МО "Савинское" "Повышение эффективности использованимя и охраны земель на территории муниципального образования "Савинское" на 2017-2019 годы"</t>
  </si>
  <si>
    <t>Реализация мероприятий по муниципальной программе МО "Савинское" "Развитие культуры муниципального образования "Савинское" на 2018-2020 годы"</t>
  </si>
  <si>
    <t>54 1 0078230</t>
  </si>
  <si>
    <t>05 0 00 S8310</t>
  </si>
  <si>
    <t>05 0 00 78240</t>
  </si>
  <si>
    <t>54 1 00 78230</t>
  </si>
  <si>
    <t>Софинансирование вопросов местного значения</t>
  </si>
  <si>
    <t>Повышение средней заработной платы работников муниципальных учреждений культуры в целях реализации Указа Президента РФ от 07 мая 2012 года №597 "О мероприятиях по рекализации государственной социальной политики"</t>
  </si>
  <si>
    <t>05 0 00 78230</t>
  </si>
  <si>
    <t>03 0 00 L5550</t>
  </si>
  <si>
    <t>831</t>
  </si>
  <si>
    <t>Перечисление другим бюджетам бюджетной системы Российской Федерации</t>
  </si>
  <si>
    <t>71 1 00 00000</t>
  </si>
  <si>
    <t xml:space="preserve">71 1 00 S3670 </t>
  </si>
  <si>
    <t>Софинансирование части дополнительных расходов на повышение минимального размера оплаты труда</t>
  </si>
  <si>
    <t>72 1 00 L4670</t>
  </si>
  <si>
    <t>54 1 00 S8080</t>
  </si>
  <si>
    <t>73 1 00 S8310</t>
  </si>
  <si>
    <t>05 0 00 90010</t>
  </si>
  <si>
    <t>Распределение расходов бюджета МО "Савинское" на 2019 год</t>
  </si>
  <si>
    <t>ВЕДОМСТВЕННАЯ СТРУКТУРА РАСХОДОВ БЮДЖЕТА                                                                                                        МУНИЦИПАЛЬНОГО ОБРАЗОВАНИЯ "САВИНСКОЕ" НА 2019 ГОД</t>
  </si>
  <si>
    <t>Приложение № 6</t>
  </si>
  <si>
    <t>58 1 00 78680</t>
  </si>
  <si>
    <t>71 1 F2 55550</t>
  </si>
  <si>
    <t>03 0 F2 55550</t>
  </si>
  <si>
    <t>03 0 00 00000</t>
  </si>
  <si>
    <t>Мероприятия по реализации муниципальной программы МО "Савинское" "Формирование современной городской среды муниципального образования "Савинское" на 2018-2024 годы"</t>
  </si>
  <si>
    <t>Реализация  мероприятий по муниципальной программе МО "Савинское" "Формирование современной городской среды муниципального образования "Савинское" на 2018-2024 годы"</t>
  </si>
  <si>
    <t>Муниципальная программа МО "Савинское" "Энергосбережение и повышение энергетической эффективности муниципального образования "Савинское" на 2019-2021 годы"</t>
  </si>
  <si>
    <t>70 1 00 S8420</t>
  </si>
  <si>
    <t>Обеспечение развития и укрепления материально-технической базы МКУК Социально-культурный центр "Мир"</t>
  </si>
  <si>
    <t>05 0 00 71400</t>
  </si>
  <si>
    <t>70 1 00 00000</t>
  </si>
  <si>
    <t>01000S875Д</t>
  </si>
  <si>
    <t>Расходы на поддержку территориального общественного самоуправления</t>
  </si>
  <si>
    <t>01 0 00 S875Д</t>
  </si>
  <si>
    <t>Ремонт автомобильных дорог общего пользования местного значения в муниципальных районах и городских округах Архангельской области (дорожный фонд Архангельской области)</t>
  </si>
  <si>
    <t>Исполнено, тыс.руб</t>
  </si>
  <si>
    <t>% исполнения</t>
  </si>
  <si>
    <t>Исполнение судебных актов Российской федерации и мировых соглашений по возмещению причиненного вреда</t>
  </si>
  <si>
    <t>МО"Савинское"от 27.08.2019 г. № 192</t>
  </si>
  <si>
    <t>МО"Савинское" от 27.08.2019 № 192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</si>
</sst>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_-* #,##0.0_р_._-;\-* #,##0.0_р_._-;_-* &quot;-&quot;?_р_._-;_-@_-"/>
    <numFmt numFmtId="175" formatCode="0.0"/>
    <numFmt numFmtId="176" formatCode="[$-FC19]d\ mmmm\ yyyy\ &quot;г.&quot;"/>
    <numFmt numFmtId="177" formatCode="_-* #,##0.00_р_._-;\-* #,##0.00_р_._-;_-* &quot;-&quot;?_р_._-;_-@_-"/>
    <numFmt numFmtId="178" formatCode="#,##0.00000_ ;\-#,##0.00000\ 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#,##0.0000_ ;\-#,##0.0000\ "/>
    <numFmt numFmtId="183" formatCode="#,##0.000_ ;\-#,##0.000\ "/>
    <numFmt numFmtId="184" formatCode="0.00000"/>
    <numFmt numFmtId="185" formatCode="_-* #,##0.000_р_._-;\-* #,##0.000_р_._-;_-* &quot;-&quot;?_р_._-;_-@_-"/>
    <numFmt numFmtId="186" formatCode="_-* #,##0.0000_р_._-;\-* #,##0.0000_р_._-;_-* &quot;-&quot;?_р_._-;_-@_-"/>
    <numFmt numFmtId="187" formatCode="_-* #,##0.00000_р_._-;\-* #,##0.00000_р_._-;_-* &quot;-&quot;?_р_._-;_-@_-"/>
    <numFmt numFmtId="188" formatCode="_-* #,##0.000_р_._-;\-* #,##0.000_р_._-;_-* &quot;-&quot;???_р_._-;_-@_-"/>
    <numFmt numFmtId="189" formatCode="_-* #,##0.00000_р_._-;\-* #,##0.00000_р_._-;_-* &quot;-&quot;?????_р_._-;_-@_-"/>
    <numFmt numFmtId="190" formatCode="0.0000"/>
    <numFmt numFmtId="191" formatCode="0.000"/>
    <numFmt numFmtId="192" formatCode="_-* #,##0.000000_р_._-;\-* #,##0.000000_р_._-;_-* &quot;-&quot;??_р_._-;_-@_-"/>
    <numFmt numFmtId="193" formatCode="#,##0.00_ ;\-#,##0.00\ "/>
    <numFmt numFmtId="194" formatCode="#,##0.0_ ;\-#,##0.0\ "/>
    <numFmt numFmtId="195" formatCode="#,##0_ ;\-#,##0\ 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"/>
    <numFmt numFmtId="202" formatCode="#,##0.0000"/>
    <numFmt numFmtId="203" formatCode="#,##0.00000"/>
    <numFmt numFmtId="204" formatCode="#,##0.000000"/>
    <numFmt numFmtId="205" formatCode="#,##0.0000000"/>
    <numFmt numFmtId="206" formatCode="#,##0.00000000"/>
    <numFmt numFmtId="207" formatCode="#,##0.000000000"/>
    <numFmt numFmtId="208" formatCode="_-* #,##0.0000000_р_._-;\-* #,##0.0000000_р_._-;_-* &quot;-&quot;??_р_._-;_-@_-"/>
  </numFmts>
  <fonts count="56">
    <font>
      <sz val="10"/>
      <name val="Arial Cyr"/>
      <family val="0"/>
    </font>
    <font>
      <sz val="10"/>
      <name val="Times New Roman"/>
      <family val="1"/>
    </font>
    <font>
      <sz val="10"/>
      <name val="Times New Roman Cyr"/>
      <family val="1"/>
    </font>
    <font>
      <b/>
      <sz val="11"/>
      <name val="Times New Roman Cyr"/>
      <family val="0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9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8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>
      <alignment horizontal="justify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justify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justify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/>
    </xf>
    <xf numFmtId="49" fontId="2" fillId="0" borderId="11" xfId="60" applyNumberFormat="1" applyFont="1" applyBorder="1" applyAlignment="1">
      <alignment horizontal="center"/>
    </xf>
    <xf numFmtId="0" fontId="5" fillId="0" borderId="10" xfId="0" applyFont="1" applyBorder="1" applyAlignment="1">
      <alignment horizontal="justify" wrapText="1"/>
    </xf>
    <xf numFmtId="0" fontId="2" fillId="0" borderId="10" xfId="0" applyFont="1" applyBorder="1" applyAlignment="1" quotePrefix="1">
      <alignment horizontal="center"/>
    </xf>
    <xf numFmtId="0" fontId="2" fillId="0" borderId="12" xfId="0" applyFont="1" applyBorder="1" applyAlignment="1" quotePrefix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3" xfId="0" applyFont="1" applyBorder="1" applyAlignment="1" quotePrefix="1">
      <alignment horizontal="center"/>
    </xf>
    <xf numFmtId="49" fontId="2" fillId="0" borderId="12" xfId="0" applyNumberFormat="1" applyFont="1" applyBorder="1" applyAlignment="1" quotePrefix="1">
      <alignment horizontal="center"/>
    </xf>
    <xf numFmtId="0" fontId="5" fillId="0" borderId="11" xfId="0" applyFont="1" applyFill="1" applyBorder="1" applyAlignment="1">
      <alignment horizontal="justify" wrapText="1"/>
    </xf>
    <xf numFmtId="0" fontId="2" fillId="0" borderId="11" xfId="0" applyFont="1" applyFill="1" applyBorder="1" applyAlignment="1">
      <alignment horizontal="justify" wrapText="1"/>
    </xf>
    <xf numFmtId="0" fontId="5" fillId="0" borderId="11" xfId="0" applyFont="1" applyBorder="1" applyAlignment="1">
      <alignment horizontal="justify" wrapText="1"/>
    </xf>
    <xf numFmtId="0" fontId="2" fillId="0" borderId="14" xfId="0" applyFont="1" applyBorder="1" applyAlignment="1" quotePrefix="1">
      <alignment horizontal="center"/>
    </xf>
    <xf numFmtId="0" fontId="5" fillId="0" borderId="10" xfId="0" applyFont="1" applyFill="1" applyBorder="1" applyAlignment="1">
      <alignment horizontal="justify" wrapText="1"/>
    </xf>
    <xf numFmtId="0" fontId="2" fillId="0" borderId="15" xfId="0" applyFont="1" applyFill="1" applyBorder="1" applyAlignment="1">
      <alignment horizontal="justify" wrapText="1"/>
    </xf>
    <xf numFmtId="0" fontId="2" fillId="0" borderId="11" xfId="0" applyFont="1" applyFill="1" applyBorder="1" applyAlignment="1">
      <alignment horizontal="justify" vertical="justify" wrapText="1"/>
    </xf>
    <xf numFmtId="0" fontId="2" fillId="0" borderId="11" xfId="0" applyNumberFormat="1" applyFont="1" applyFill="1" applyBorder="1" applyAlignment="1">
      <alignment horizontal="justify" wrapText="1"/>
    </xf>
    <xf numFmtId="0" fontId="5" fillId="0" borderId="11" xfId="60" applyNumberFormat="1" applyFont="1" applyFill="1" applyBorder="1" applyAlignment="1">
      <alignment horizontal="justify" wrapText="1"/>
    </xf>
    <xf numFmtId="0" fontId="4" fillId="0" borderId="11" xfId="60" applyNumberFormat="1" applyFont="1" applyFill="1" applyBorder="1" applyAlignment="1">
      <alignment horizontal="center"/>
    </xf>
    <xf numFmtId="0" fontId="2" fillId="0" borderId="10" xfId="60" applyNumberFormat="1" applyFont="1" applyFill="1" applyBorder="1" applyAlignment="1">
      <alignment horizontal="justify" wrapText="1"/>
    </xf>
    <xf numFmtId="0" fontId="2" fillId="0" borderId="10" xfId="60" applyNumberFormat="1" applyFont="1" applyFill="1" applyBorder="1" applyAlignment="1">
      <alignment horizontal="center"/>
    </xf>
    <xf numFmtId="0" fontId="5" fillId="0" borderId="10" xfId="60" applyNumberFormat="1" applyFont="1" applyFill="1" applyBorder="1" applyAlignment="1">
      <alignment horizontal="justify" wrapText="1"/>
    </xf>
    <xf numFmtId="0" fontId="5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11" xfId="0" applyFont="1" applyBorder="1" applyAlignment="1">
      <alignment horizontal="justify" vertical="justify"/>
    </xf>
    <xf numFmtId="0" fontId="0" fillId="0" borderId="0" xfId="0" applyBorder="1" applyAlignment="1">
      <alignment horizontal="center"/>
    </xf>
    <xf numFmtId="172" fontId="1" fillId="0" borderId="0" xfId="6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2" fillId="0" borderId="13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 quotePrefix="1">
      <alignment horizontal="center"/>
    </xf>
    <xf numFmtId="49" fontId="2" fillId="0" borderId="11" xfId="0" applyNumberFormat="1" applyFont="1" applyBorder="1" applyAlignment="1" quotePrefix="1">
      <alignment horizontal="center"/>
    </xf>
    <xf numFmtId="49" fontId="2" fillId="0" borderId="15" xfId="0" applyNumberFormat="1" applyFont="1" applyFill="1" applyBorder="1" applyAlignment="1" quotePrefix="1">
      <alignment horizontal="center"/>
    </xf>
    <xf numFmtId="49" fontId="2" fillId="0" borderId="11" xfId="0" applyNumberFormat="1" applyFont="1" applyFill="1" applyBorder="1" applyAlignment="1" quotePrefix="1">
      <alignment horizontal="center"/>
    </xf>
    <xf numFmtId="49" fontId="4" fillId="0" borderId="11" xfId="60" applyNumberFormat="1" applyFont="1" applyBorder="1" applyAlignment="1">
      <alignment horizontal="center"/>
    </xf>
    <xf numFmtId="49" fontId="2" fillId="0" borderId="11" xfId="60" applyNumberFormat="1" applyFont="1" applyBorder="1" applyAlignment="1" quotePrefix="1">
      <alignment horizontal="center"/>
    </xf>
    <xf numFmtId="49" fontId="2" fillId="0" borderId="10" xfId="60" applyNumberFormat="1" applyFont="1" applyBorder="1" applyAlignment="1" quotePrefix="1">
      <alignment horizontal="center"/>
    </xf>
    <xf numFmtId="49" fontId="2" fillId="0" borderId="11" xfId="6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justify" wrapText="1"/>
    </xf>
    <xf numFmtId="172" fontId="2" fillId="0" borderId="10" xfId="60" applyNumberFormat="1" applyFont="1" applyBorder="1" applyAlignment="1">
      <alignment/>
    </xf>
    <xf numFmtId="172" fontId="2" fillId="0" borderId="11" xfId="60" applyNumberFormat="1" applyFont="1" applyBorder="1" applyAlignment="1">
      <alignment/>
    </xf>
    <xf numFmtId="0" fontId="1" fillId="0" borderId="10" xfId="0" applyFont="1" applyFill="1" applyBorder="1" applyAlignment="1">
      <alignment horizontal="justify"/>
    </xf>
    <xf numFmtId="0" fontId="6" fillId="0" borderId="11" xfId="0" applyFont="1" applyBorder="1" applyAlignment="1">
      <alignment horizontal="justify"/>
    </xf>
    <xf numFmtId="0" fontId="1" fillId="0" borderId="10" xfId="60" applyNumberFormat="1" applyFont="1" applyFill="1" applyBorder="1" applyAlignment="1">
      <alignment horizontal="justify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11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49" fontId="12" fillId="0" borderId="11" xfId="0" applyNumberFormat="1" applyFont="1" applyFill="1" applyBorder="1" applyAlignment="1">
      <alignment horizontal="center" wrapText="1"/>
    </xf>
    <xf numFmtId="49" fontId="12" fillId="0" borderId="11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49" fontId="10" fillId="0" borderId="11" xfId="0" applyNumberFormat="1" applyFont="1" applyFill="1" applyBorder="1" applyAlignment="1">
      <alignment horizontal="center" wrapText="1"/>
    </xf>
    <xf numFmtId="49" fontId="10" fillId="0" borderId="11" xfId="0" applyNumberFormat="1" applyFont="1" applyFill="1" applyBorder="1" applyAlignment="1">
      <alignment horizontal="center"/>
    </xf>
    <xf numFmtId="49" fontId="10" fillId="33" borderId="11" xfId="0" applyNumberFormat="1" applyFont="1" applyFill="1" applyBorder="1" applyAlignment="1">
      <alignment horizontal="center" wrapText="1"/>
    </xf>
    <xf numFmtId="49" fontId="10" fillId="33" borderId="11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 wrapText="1"/>
    </xf>
    <xf numFmtId="0" fontId="10" fillId="0" borderId="11" xfId="0" applyFont="1" applyFill="1" applyBorder="1" applyAlignment="1">
      <alignment/>
    </xf>
    <xf numFmtId="0" fontId="10" fillId="0" borderId="11" xfId="0" applyFont="1" applyFill="1" applyBorder="1" applyAlignment="1">
      <alignment wrapText="1"/>
    </xf>
    <xf numFmtId="0" fontId="10" fillId="0" borderId="11" xfId="0" applyFont="1" applyFill="1" applyBorder="1" applyAlignment="1">
      <alignment/>
    </xf>
    <xf numFmtId="0" fontId="10" fillId="0" borderId="0" xfId="0" applyFont="1" applyFill="1" applyAlignment="1">
      <alignment wrapText="1"/>
    </xf>
    <xf numFmtId="0" fontId="16" fillId="33" borderId="11" xfId="0" applyFont="1" applyFill="1" applyBorder="1" applyAlignment="1">
      <alignment horizontal="left" vertical="center" wrapText="1"/>
    </xf>
    <xf numFmtId="0" fontId="21" fillId="33" borderId="11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49" fontId="15" fillId="0" borderId="11" xfId="0" applyNumberFormat="1" applyFont="1" applyFill="1" applyBorder="1" applyAlignment="1">
      <alignment vertical="center" wrapText="1"/>
    </xf>
    <xf numFmtId="49" fontId="16" fillId="0" borderId="11" xfId="0" applyNumberFormat="1" applyFont="1" applyFill="1" applyBorder="1" applyAlignment="1">
      <alignment vertical="center" wrapText="1"/>
    </xf>
    <xf numFmtId="49" fontId="16" fillId="33" borderId="11" xfId="0" applyNumberFormat="1" applyFont="1" applyFill="1" applyBorder="1" applyAlignment="1">
      <alignment vertical="center" wrapText="1"/>
    </xf>
    <xf numFmtId="11" fontId="15" fillId="0" borderId="11" xfId="0" applyNumberFormat="1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49" fontId="12" fillId="33" borderId="11" xfId="0" applyNumberFormat="1" applyFont="1" applyFill="1" applyBorder="1" applyAlignment="1">
      <alignment vertical="center" wrapText="1"/>
    </xf>
    <xf numFmtId="49" fontId="11" fillId="33" borderId="11" xfId="0" applyNumberFormat="1" applyFont="1" applyFill="1" applyBorder="1" applyAlignment="1">
      <alignment horizontal="center" wrapText="1"/>
    </xf>
    <xf numFmtId="49" fontId="11" fillId="33" borderId="11" xfId="0" applyNumberFormat="1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49" fontId="17" fillId="0" borderId="0" xfId="0" applyNumberFormat="1" applyFont="1" applyAlignment="1">
      <alignment/>
    </xf>
    <xf numFmtId="49" fontId="17" fillId="0" borderId="0" xfId="0" applyNumberFormat="1" applyFont="1" applyAlignment="1">
      <alignment horizontal="left"/>
    </xf>
    <xf numFmtId="0" fontId="19" fillId="33" borderId="11" xfId="0" applyNumberFormat="1" applyFont="1" applyFill="1" applyBorder="1" applyAlignment="1">
      <alignment vertical="center" wrapText="1"/>
    </xf>
    <xf numFmtId="0" fontId="19" fillId="34" borderId="11" xfId="0" applyFont="1" applyFill="1" applyBorder="1" applyAlignment="1">
      <alignment wrapText="1"/>
    </xf>
    <xf numFmtId="0" fontId="19" fillId="33" borderId="11" xfId="0" applyFont="1" applyFill="1" applyBorder="1" applyAlignment="1">
      <alignment wrapText="1"/>
    </xf>
    <xf numFmtId="0" fontId="18" fillId="34" borderId="11" xfId="0" applyFont="1" applyFill="1" applyBorder="1" applyAlignment="1">
      <alignment wrapText="1"/>
    </xf>
    <xf numFmtId="0" fontId="19" fillId="33" borderId="11" xfId="0" applyNumberFormat="1" applyFont="1" applyFill="1" applyBorder="1" applyAlignment="1">
      <alignment wrapText="1"/>
    </xf>
    <xf numFmtId="49" fontId="19" fillId="33" borderId="11" xfId="0" applyNumberFormat="1" applyFont="1" applyFill="1" applyBorder="1" applyAlignment="1">
      <alignment vertical="center" wrapText="1"/>
    </xf>
    <xf numFmtId="0" fontId="19" fillId="33" borderId="11" xfId="0" applyFont="1" applyFill="1" applyBorder="1" applyAlignment="1">
      <alignment horizontal="left" vertical="center" wrapText="1"/>
    </xf>
    <xf numFmtId="49" fontId="19" fillId="0" borderId="11" xfId="0" applyNumberFormat="1" applyFont="1" applyFill="1" applyBorder="1" applyAlignment="1">
      <alignment vertical="center" wrapText="1"/>
    </xf>
    <xf numFmtId="0" fontId="19" fillId="33" borderId="11" xfId="0" applyFont="1" applyFill="1" applyBorder="1" applyAlignment="1">
      <alignment/>
    </xf>
    <xf numFmtId="49" fontId="19" fillId="33" borderId="11" xfId="0" applyNumberFormat="1" applyFont="1" applyFill="1" applyBorder="1" applyAlignment="1">
      <alignment horizontal="left" vertical="center" wrapText="1"/>
    </xf>
    <xf numFmtId="0" fontId="16" fillId="34" borderId="11" xfId="0" applyFont="1" applyFill="1" applyBorder="1" applyAlignment="1">
      <alignment wrapText="1"/>
    </xf>
    <xf numFmtId="0" fontId="16" fillId="33" borderId="11" xfId="0" applyNumberFormat="1" applyFont="1" applyFill="1" applyBorder="1" applyAlignment="1">
      <alignment vertical="center" wrapText="1"/>
    </xf>
    <xf numFmtId="0" fontId="19" fillId="34" borderId="11" xfId="0" applyFont="1" applyFill="1" applyBorder="1" applyAlignment="1">
      <alignment vertical="top" wrapText="1"/>
    </xf>
    <xf numFmtId="0" fontId="19" fillId="34" borderId="11" xfId="0" applyFont="1" applyFill="1" applyBorder="1" applyAlignment="1">
      <alignment horizontal="left" vertical="top" wrapText="1"/>
    </xf>
    <xf numFmtId="0" fontId="16" fillId="33" borderId="11" xfId="0" applyFont="1" applyFill="1" applyBorder="1" applyAlignment="1">
      <alignment vertical="top" wrapText="1"/>
    </xf>
    <xf numFmtId="0" fontId="19" fillId="34" borderId="11" xfId="0" applyFont="1" applyFill="1" applyBorder="1" applyAlignment="1">
      <alignment horizontal="left" wrapText="1"/>
    </xf>
    <xf numFmtId="49" fontId="16" fillId="35" borderId="11" xfId="0" applyNumberFormat="1" applyFont="1" applyFill="1" applyBorder="1" applyAlignment="1">
      <alignment vertical="center" wrapText="1"/>
    </xf>
    <xf numFmtId="49" fontId="12" fillId="35" borderId="11" xfId="0" applyNumberFormat="1" applyFont="1" applyFill="1" applyBorder="1" applyAlignment="1">
      <alignment horizontal="center"/>
    </xf>
    <xf numFmtId="49" fontId="10" fillId="35" borderId="11" xfId="0" applyNumberFormat="1" applyFont="1" applyFill="1" applyBorder="1" applyAlignment="1">
      <alignment horizontal="center"/>
    </xf>
    <xf numFmtId="0" fontId="19" fillId="36" borderId="11" xfId="0" applyFont="1" applyFill="1" applyBorder="1" applyAlignment="1">
      <alignment wrapText="1"/>
    </xf>
    <xf numFmtId="49" fontId="12" fillId="35" borderId="11" xfId="0" applyNumberFormat="1" applyFont="1" applyFill="1" applyBorder="1" applyAlignment="1">
      <alignment horizontal="center" wrapText="1"/>
    </xf>
    <xf numFmtId="49" fontId="10" fillId="35" borderId="11" xfId="0" applyNumberFormat="1" applyFont="1" applyFill="1" applyBorder="1" applyAlignment="1">
      <alignment horizontal="center" wrapText="1"/>
    </xf>
    <xf numFmtId="0" fontId="16" fillId="35" borderId="11" xfId="0" applyFont="1" applyFill="1" applyBorder="1" applyAlignment="1">
      <alignment horizontal="left" vertical="center" wrapText="1"/>
    </xf>
    <xf numFmtId="49" fontId="19" fillId="35" borderId="11" xfId="0" applyNumberFormat="1" applyFont="1" applyFill="1" applyBorder="1" applyAlignment="1">
      <alignment vertical="center" wrapText="1"/>
    </xf>
    <xf numFmtId="0" fontId="19" fillId="36" borderId="11" xfId="0" applyFont="1" applyFill="1" applyBorder="1" applyAlignment="1">
      <alignment vertical="top" wrapText="1"/>
    </xf>
    <xf numFmtId="0" fontId="15" fillId="35" borderId="11" xfId="0" applyFont="1" applyFill="1" applyBorder="1" applyAlignment="1">
      <alignment horizontal="left" vertical="center" wrapText="1"/>
    </xf>
    <xf numFmtId="49" fontId="11" fillId="35" borderId="11" xfId="0" applyNumberFormat="1" applyFont="1" applyFill="1" applyBorder="1" applyAlignment="1">
      <alignment horizontal="center" wrapText="1"/>
    </xf>
    <xf numFmtId="49" fontId="11" fillId="35" borderId="11" xfId="0" applyNumberFormat="1" applyFont="1" applyFill="1" applyBorder="1" applyAlignment="1">
      <alignment horizontal="center"/>
    </xf>
    <xf numFmtId="49" fontId="15" fillId="35" borderId="11" xfId="0" applyNumberFormat="1" applyFont="1" applyFill="1" applyBorder="1" applyAlignment="1">
      <alignment vertical="center" wrapText="1"/>
    </xf>
    <xf numFmtId="0" fontId="19" fillId="35" borderId="11" xfId="0" applyFont="1" applyFill="1" applyBorder="1" applyAlignment="1">
      <alignment horizontal="left" vertical="center" wrapText="1"/>
    </xf>
    <xf numFmtId="0" fontId="19" fillId="36" borderId="11" xfId="0" applyFont="1" applyFill="1" applyBorder="1" applyAlignment="1">
      <alignment horizontal="left" wrapText="1"/>
    </xf>
    <xf numFmtId="0" fontId="19" fillId="35" borderId="11" xfId="0" applyFont="1" applyFill="1" applyBorder="1" applyAlignment="1">
      <alignment wrapText="1"/>
    </xf>
    <xf numFmtId="205" fontId="10" fillId="0" borderId="0" xfId="0" applyNumberFormat="1" applyFont="1" applyFill="1" applyAlignment="1">
      <alignment/>
    </xf>
    <xf numFmtId="171" fontId="2" fillId="0" borderId="10" xfId="60" applyNumberFormat="1" applyFont="1" applyBorder="1" applyAlignment="1">
      <alignment/>
    </xf>
    <xf numFmtId="171" fontId="2" fillId="0" borderId="11" xfId="60" applyNumberFormat="1" applyFont="1" applyBorder="1" applyAlignment="1">
      <alignment/>
    </xf>
    <xf numFmtId="171" fontId="2" fillId="0" borderId="11" xfId="60" applyNumberFormat="1" applyFont="1" applyFill="1" applyBorder="1" applyAlignment="1">
      <alignment/>
    </xf>
    <xf numFmtId="171" fontId="2" fillId="0" borderId="10" xfId="60" applyNumberFormat="1" applyFont="1" applyFill="1" applyBorder="1" applyAlignment="1">
      <alignment/>
    </xf>
    <xf numFmtId="171" fontId="2" fillId="0" borderId="15" xfId="60" applyNumberFormat="1" applyFont="1" applyBorder="1" applyAlignment="1">
      <alignment/>
    </xf>
    <xf numFmtId="0" fontId="19" fillId="36" borderId="11" xfId="0" applyFont="1" applyFill="1" applyBorder="1" applyAlignment="1">
      <alignment vertical="center" wrapText="1"/>
    </xf>
    <xf numFmtId="4" fontId="10" fillId="35" borderId="0" xfId="0" applyNumberFormat="1" applyFont="1" applyFill="1" applyAlignment="1">
      <alignment horizontal="center"/>
    </xf>
    <xf numFmtId="4" fontId="11" fillId="35" borderId="11" xfId="0" applyNumberFormat="1" applyFont="1" applyFill="1" applyBorder="1" applyAlignment="1">
      <alignment horizontal="right"/>
    </xf>
    <xf numFmtId="4" fontId="11" fillId="35" borderId="11" xfId="0" applyNumberFormat="1" applyFont="1" applyFill="1" applyBorder="1" applyAlignment="1">
      <alignment/>
    </xf>
    <xf numFmtId="4" fontId="12" fillId="35" borderId="11" xfId="0" applyNumberFormat="1" applyFont="1" applyFill="1" applyBorder="1" applyAlignment="1">
      <alignment/>
    </xf>
    <xf numFmtId="4" fontId="10" fillId="35" borderId="11" xfId="0" applyNumberFormat="1" applyFont="1" applyFill="1" applyBorder="1" applyAlignment="1">
      <alignment/>
    </xf>
    <xf numFmtId="4" fontId="14" fillId="35" borderId="11" xfId="0" applyNumberFormat="1" applyFont="1" applyFill="1" applyBorder="1" applyAlignment="1">
      <alignment/>
    </xf>
    <xf numFmtId="4" fontId="10" fillId="35" borderId="0" xfId="0" applyNumberFormat="1" applyFont="1" applyFill="1" applyAlignment="1">
      <alignment/>
    </xf>
    <xf numFmtId="49" fontId="1" fillId="0" borderId="0" xfId="0" applyNumberFormat="1" applyFont="1" applyAlignment="1">
      <alignment horizontal="left" wrapText="1"/>
    </xf>
    <xf numFmtId="204" fontId="10" fillId="0" borderId="0" xfId="0" applyNumberFormat="1" applyFont="1" applyFill="1" applyAlignment="1">
      <alignment/>
    </xf>
    <xf numFmtId="192" fontId="6" fillId="0" borderId="0" xfId="60" applyNumberFormat="1" applyFont="1" applyBorder="1" applyAlignment="1">
      <alignment/>
    </xf>
    <xf numFmtId="0" fontId="17" fillId="0" borderId="0" xfId="0" applyFont="1" applyFill="1" applyAlignment="1">
      <alignment horizontal="left"/>
    </xf>
    <xf numFmtId="4" fontId="17" fillId="35" borderId="0" xfId="0" applyNumberFormat="1" applyFont="1" applyFill="1" applyAlignment="1">
      <alignment horizontal="left"/>
    </xf>
    <xf numFmtId="4" fontId="13" fillId="35" borderId="11" xfId="0" applyNumberFormat="1" applyFont="1" applyFill="1" applyBorder="1" applyAlignment="1">
      <alignment/>
    </xf>
    <xf numFmtId="3" fontId="10" fillId="35" borderId="11" xfId="0" applyNumberFormat="1" applyFont="1" applyFill="1" applyBorder="1" applyAlignment="1">
      <alignment horizontal="center"/>
    </xf>
    <xf numFmtId="171" fontId="5" fillId="0" borderId="10" xfId="60" applyNumberFormat="1" applyFont="1" applyBorder="1" applyAlignment="1">
      <alignment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1" fillId="0" borderId="0" xfId="0" applyNumberFormat="1" applyFont="1" applyAlignment="1">
      <alignment horizontal="left" wrapText="1"/>
    </xf>
    <xf numFmtId="0" fontId="1" fillId="0" borderId="0" xfId="0" applyFont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/>
    </xf>
    <xf numFmtId="0" fontId="12" fillId="0" borderId="0" xfId="0" applyFont="1" applyFill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4" fontId="12" fillId="35" borderId="11" xfId="0" applyNumberFormat="1" applyFont="1" applyFill="1" applyBorder="1" applyAlignment="1">
      <alignment horizontal="center" vertical="center" wrapText="1"/>
    </xf>
    <xf numFmtId="4" fontId="7" fillId="35" borderId="1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2;&#1089;&#1096;&#1080;&#1092;&#1088;&#1086;&#1074;&#1082;&#1072;%20&#1082;%20&#1089;&#1084;&#1077;&#1090;&#1077;%20&#1088;-&#1076;&#1086;&#1074;%20&#1055;&#1056;&#1054;&#1045;&#1050;&#1058;%20&#1085;&#1072;%202019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02"/>
      <sheetName val="0104"/>
      <sheetName val="0106"/>
      <sheetName val="0111"/>
      <sheetName val="0113 (225)"/>
      <sheetName val="0113 (226)"/>
      <sheetName val="0203"/>
      <sheetName val="0309"/>
      <sheetName val="0310"/>
      <sheetName val="0409"/>
      <sheetName val="0412"/>
      <sheetName val="0501"/>
      <sheetName val="0502"/>
      <sheetName val="0503"/>
      <sheetName val="0801 "/>
      <sheetName val="1001"/>
      <sheetName val="1006"/>
      <sheetName val="1102"/>
      <sheetName val="Лист1"/>
    </sheetNames>
    <sheetDataSet>
      <sheetData sheetId="1">
        <row r="115">
          <cell r="D115">
            <v>100000</v>
          </cell>
        </row>
      </sheetData>
      <sheetData sheetId="4">
        <row r="16">
          <cell r="C16">
            <v>260000</v>
          </cell>
        </row>
      </sheetData>
      <sheetData sheetId="6">
        <row r="10">
          <cell r="D10">
            <v>354199.9973</v>
          </cell>
        </row>
        <row r="15">
          <cell r="D15">
            <v>13400</v>
          </cell>
        </row>
        <row r="19">
          <cell r="D19">
            <v>16700</v>
          </cell>
        </row>
      </sheetData>
      <sheetData sheetId="7">
        <row r="18">
          <cell r="C18">
            <v>50000</v>
          </cell>
        </row>
      </sheetData>
      <sheetData sheetId="13">
        <row r="21">
          <cell r="D21">
            <v>30000</v>
          </cell>
        </row>
      </sheetData>
      <sheetData sheetId="14">
        <row r="70">
          <cell r="D70">
            <v>98890</v>
          </cell>
        </row>
      </sheetData>
      <sheetData sheetId="15">
        <row r="15">
          <cell r="C15">
            <v>80360.76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tabSelected="1" view="pageBreakPreview" zoomScale="90" zoomScaleNormal="85" zoomScaleSheetLayoutView="90" zoomScalePageLayoutView="0" workbookViewId="0" topLeftCell="A4">
      <selection activeCell="C3" sqref="C3"/>
    </sheetView>
  </sheetViews>
  <sheetFormatPr defaultColWidth="9.00390625" defaultRowHeight="12.75"/>
  <cols>
    <col min="1" max="1" width="51.125" style="0" customWidth="1"/>
    <col min="2" max="2" width="6.375" style="0" customWidth="1"/>
    <col min="3" max="3" width="9.75390625" style="0" customWidth="1"/>
    <col min="4" max="4" width="27.75390625" style="0" customWidth="1"/>
    <col min="5" max="5" width="24.625" style="0" customWidth="1"/>
  </cols>
  <sheetData>
    <row r="1" spans="3:4" ht="15">
      <c r="C1" s="94" t="s">
        <v>154</v>
      </c>
      <c r="D1" s="94"/>
    </row>
    <row r="2" spans="3:4" ht="15">
      <c r="C2" s="95" t="s">
        <v>62</v>
      </c>
      <c r="D2" s="95"/>
    </row>
    <row r="3" spans="1:5" ht="15">
      <c r="A3" s="1"/>
      <c r="B3" s="2"/>
      <c r="C3" s="96" t="s">
        <v>302</v>
      </c>
      <c r="D3" s="96"/>
      <c r="E3" s="36"/>
    </row>
    <row r="4" spans="1:5" ht="9" customHeight="1">
      <c r="A4" s="3"/>
      <c r="B4" s="4"/>
      <c r="C4" s="157"/>
      <c r="D4" s="157"/>
      <c r="E4" s="36"/>
    </row>
    <row r="5" spans="1:5" ht="6.75" customHeight="1">
      <c r="A5" s="3"/>
      <c r="B5" s="4"/>
      <c r="C5" s="157"/>
      <c r="D5" s="157"/>
      <c r="E5" s="36"/>
    </row>
    <row r="6" spans="1:5" ht="6.75" customHeight="1">
      <c r="A6" s="3"/>
      <c r="B6" s="4"/>
      <c r="C6" s="4"/>
      <c r="D6" s="143"/>
      <c r="E6" s="36"/>
    </row>
    <row r="7" spans="1:5" ht="6.75" customHeight="1">
      <c r="A7" s="3"/>
      <c r="B7" s="4"/>
      <c r="C7" s="4"/>
      <c r="D7" s="143"/>
      <c r="E7" s="36"/>
    </row>
    <row r="8" spans="1:5" ht="5.25" customHeight="1">
      <c r="A8" s="3"/>
      <c r="B8" s="4"/>
      <c r="C8" s="4"/>
      <c r="D8" s="36"/>
      <c r="E8" s="36"/>
    </row>
    <row r="9" spans="1:4" ht="14.25">
      <c r="A9" s="159" t="s">
        <v>280</v>
      </c>
      <c r="B9" s="159"/>
      <c r="C9" s="159"/>
      <c r="D9" s="159"/>
    </row>
    <row r="10" spans="1:4" ht="14.25">
      <c r="A10" s="159" t="s">
        <v>0</v>
      </c>
      <c r="B10" s="159"/>
      <c r="C10" s="159"/>
      <c r="D10" s="159"/>
    </row>
    <row r="11" spans="1:4" ht="14.25">
      <c r="A11" s="159" t="s">
        <v>1</v>
      </c>
      <c r="B11" s="159"/>
      <c r="C11" s="159"/>
      <c r="D11" s="159"/>
    </row>
    <row r="12" spans="1:3" ht="15" hidden="1">
      <c r="A12" s="5"/>
      <c r="B12" s="6"/>
      <c r="C12" s="6"/>
    </row>
    <row r="13" spans="1:5" ht="9" customHeight="1">
      <c r="A13" s="151" t="s">
        <v>3</v>
      </c>
      <c r="B13" s="154" t="s">
        <v>4</v>
      </c>
      <c r="C13" s="154" t="s">
        <v>66</v>
      </c>
      <c r="D13" s="151" t="s">
        <v>2</v>
      </c>
      <c r="E13" s="158"/>
    </row>
    <row r="14" spans="1:5" ht="6.75" customHeight="1">
      <c r="A14" s="152"/>
      <c r="B14" s="155"/>
      <c r="C14" s="155"/>
      <c r="D14" s="152"/>
      <c r="E14" s="158"/>
    </row>
    <row r="15" spans="1:5" ht="6" customHeight="1">
      <c r="A15" s="152"/>
      <c r="B15" s="155"/>
      <c r="C15" s="155"/>
      <c r="D15" s="152"/>
      <c r="E15" s="158"/>
    </row>
    <row r="16" spans="1:5" ht="6" customHeight="1">
      <c r="A16" s="153"/>
      <c r="B16" s="156"/>
      <c r="C16" s="156"/>
      <c r="D16" s="153"/>
      <c r="E16" s="158"/>
    </row>
    <row r="17" spans="1:5" ht="12.75" hidden="1">
      <c r="A17" s="8">
        <v>1</v>
      </c>
      <c r="B17" s="9">
        <v>2</v>
      </c>
      <c r="C17" s="9">
        <v>3</v>
      </c>
      <c r="D17" s="10">
        <v>4</v>
      </c>
      <c r="E17" s="33"/>
    </row>
    <row r="18" spans="1:5" ht="18" customHeight="1">
      <c r="A18" s="11" t="s">
        <v>5</v>
      </c>
      <c r="B18" s="12" t="s">
        <v>6</v>
      </c>
      <c r="C18" s="38" t="s">
        <v>55</v>
      </c>
      <c r="D18" s="130">
        <f>SUM(D19:D28)</f>
        <v>10693.49159</v>
      </c>
      <c r="E18" s="34"/>
    </row>
    <row r="19" spans="1:5" ht="33" customHeight="1">
      <c r="A19" s="53" t="s">
        <v>7</v>
      </c>
      <c r="B19" s="13" t="s">
        <v>6</v>
      </c>
      <c r="C19" s="42" t="s">
        <v>8</v>
      </c>
      <c r="D19" s="131">
        <f>'прил 6'!I17</f>
        <v>884.34704</v>
      </c>
      <c r="E19" s="35"/>
    </row>
    <row r="20" spans="1:5" ht="39.75" customHeight="1" hidden="1">
      <c r="A20" s="7" t="s">
        <v>64</v>
      </c>
      <c r="B20" s="13" t="s">
        <v>6</v>
      </c>
      <c r="C20" s="42" t="s">
        <v>9</v>
      </c>
      <c r="D20" s="130">
        <f>'прил 6'!I22</f>
        <v>0</v>
      </c>
      <c r="E20" s="35"/>
    </row>
    <row r="21" spans="1:5" ht="37.5" customHeight="1" hidden="1">
      <c r="A21" s="7" t="s">
        <v>7</v>
      </c>
      <c r="B21" s="37" t="s">
        <v>6</v>
      </c>
      <c r="C21" s="38" t="s">
        <v>8</v>
      </c>
      <c r="D21" s="130"/>
      <c r="E21" s="35"/>
    </row>
    <row r="22" spans="1:5" ht="40.5" customHeight="1">
      <c r="A22" s="7" t="s">
        <v>10</v>
      </c>
      <c r="B22" s="15" t="s">
        <v>6</v>
      </c>
      <c r="C22" s="41" t="s">
        <v>11</v>
      </c>
      <c r="D22" s="130">
        <f>'прил 6'!I30</f>
        <v>7289.12455</v>
      </c>
      <c r="E22" s="35"/>
    </row>
    <row r="23" spans="1:5" ht="28.5" customHeight="1">
      <c r="A23" s="7" t="s">
        <v>12</v>
      </c>
      <c r="B23" s="15" t="s">
        <v>6</v>
      </c>
      <c r="C23" s="41" t="s">
        <v>13</v>
      </c>
      <c r="D23" s="130">
        <f>'прил 6'!I58</f>
        <v>15.3</v>
      </c>
      <c r="E23" s="35"/>
    </row>
    <row r="24" spans="1:5" ht="22.5" customHeight="1" hidden="1">
      <c r="A24" s="7" t="s">
        <v>14</v>
      </c>
      <c r="B24" s="15" t="s">
        <v>6</v>
      </c>
      <c r="C24" s="41" t="s">
        <v>15</v>
      </c>
      <c r="D24" s="130">
        <f>'прил 6'!I62</f>
        <v>0</v>
      </c>
      <c r="E24" s="35"/>
    </row>
    <row r="25" spans="1:5" ht="12.75" hidden="1">
      <c r="A25" s="7" t="s">
        <v>16</v>
      </c>
      <c r="B25" s="15" t="s">
        <v>6</v>
      </c>
      <c r="C25" s="41">
        <v>12</v>
      </c>
      <c r="D25" s="130">
        <v>0</v>
      </c>
      <c r="E25" s="35"/>
    </row>
    <row r="26" spans="1:5" ht="38.25" hidden="1">
      <c r="A26" s="32" t="s">
        <v>51</v>
      </c>
      <c r="B26" s="37"/>
      <c r="C26" s="38"/>
      <c r="D26" s="130"/>
      <c r="E26" s="35"/>
    </row>
    <row r="27" spans="1:5" ht="20.25" customHeight="1">
      <c r="A27" s="7" t="s">
        <v>17</v>
      </c>
      <c r="B27" s="15" t="s">
        <v>6</v>
      </c>
      <c r="C27" s="38" t="s">
        <v>70</v>
      </c>
      <c r="D27" s="130">
        <f>'прил 6'!I66</f>
        <v>500</v>
      </c>
      <c r="E27" s="35"/>
    </row>
    <row r="28" spans="1:5" ht="19.5" customHeight="1">
      <c r="A28" s="53" t="s">
        <v>18</v>
      </c>
      <c r="B28" s="16" t="s">
        <v>6</v>
      </c>
      <c r="C28" s="40" t="s">
        <v>71</v>
      </c>
      <c r="D28" s="130">
        <f>'прил 6'!I71</f>
        <v>2004.72</v>
      </c>
      <c r="E28" s="35"/>
    </row>
    <row r="29" spans="1:5" ht="16.5" customHeight="1">
      <c r="A29" s="11" t="s">
        <v>52</v>
      </c>
      <c r="B29" s="37" t="s">
        <v>8</v>
      </c>
      <c r="C29" s="41"/>
      <c r="D29" s="130">
        <f>'прил 6'!I92</f>
        <v>370.8999973</v>
      </c>
      <c r="E29" s="35"/>
    </row>
    <row r="30" spans="1:5" ht="20.25" customHeight="1">
      <c r="A30" s="7" t="s">
        <v>53</v>
      </c>
      <c r="B30" s="37" t="s">
        <v>8</v>
      </c>
      <c r="C30" s="38" t="s">
        <v>9</v>
      </c>
      <c r="D30" s="130">
        <f>'прил 6'!I93</f>
        <v>370.8999973</v>
      </c>
      <c r="E30" s="35"/>
    </row>
    <row r="31" spans="1:5" ht="27" customHeight="1">
      <c r="A31" s="51" t="s">
        <v>19</v>
      </c>
      <c r="B31" s="40" t="s">
        <v>9</v>
      </c>
      <c r="C31" s="40" t="s">
        <v>55</v>
      </c>
      <c r="D31" s="131">
        <f>'прил 6'!I101</f>
        <v>350</v>
      </c>
      <c r="E31" s="35"/>
    </row>
    <row r="32" spans="1:5" ht="27" customHeight="1">
      <c r="A32" s="56" t="s">
        <v>69</v>
      </c>
      <c r="B32" s="40" t="s">
        <v>9</v>
      </c>
      <c r="C32" s="40" t="s">
        <v>20</v>
      </c>
      <c r="D32" s="131">
        <f>'прил 6'!I102</f>
        <v>50</v>
      </c>
      <c r="E32" s="35"/>
    </row>
    <row r="33" spans="1:5" ht="20.25" customHeight="1">
      <c r="A33" s="52" t="s">
        <v>58</v>
      </c>
      <c r="B33" s="40" t="s">
        <v>9</v>
      </c>
      <c r="C33" s="40" t="s">
        <v>48</v>
      </c>
      <c r="D33" s="131">
        <f>'прил 6'!I107</f>
        <v>300</v>
      </c>
      <c r="E33" s="35"/>
    </row>
    <row r="34" spans="1:5" ht="20.25" customHeight="1">
      <c r="A34" s="51" t="s">
        <v>61</v>
      </c>
      <c r="B34" s="40" t="s">
        <v>11</v>
      </c>
      <c r="C34" s="40" t="s">
        <v>55</v>
      </c>
      <c r="D34" s="131">
        <f>'прил 6'!I112</f>
        <v>14121.659090000001</v>
      </c>
      <c r="E34" s="35"/>
    </row>
    <row r="35" spans="1:5" ht="25.5" customHeight="1">
      <c r="A35" s="52" t="s">
        <v>75</v>
      </c>
      <c r="B35" s="40" t="s">
        <v>11</v>
      </c>
      <c r="C35" s="40" t="s">
        <v>20</v>
      </c>
      <c r="D35" s="131">
        <f>'прил 6'!I113</f>
        <v>13884.26309</v>
      </c>
      <c r="E35" s="35"/>
    </row>
    <row r="36" spans="1:5" ht="19.5" customHeight="1">
      <c r="A36" s="52" t="s">
        <v>22</v>
      </c>
      <c r="B36" s="40" t="s">
        <v>11</v>
      </c>
      <c r="C36" s="40" t="s">
        <v>45</v>
      </c>
      <c r="D36" s="131">
        <f>'прил 6'!I126</f>
        <v>237.396</v>
      </c>
      <c r="E36" s="35"/>
    </row>
    <row r="37" spans="1:5" ht="19.5" customHeight="1">
      <c r="A37" s="19" t="s">
        <v>23</v>
      </c>
      <c r="B37" s="14" t="s">
        <v>24</v>
      </c>
      <c r="C37" s="40" t="s">
        <v>55</v>
      </c>
      <c r="D37" s="131">
        <f>'прил 6'!I134</f>
        <v>12802.839409999999</v>
      </c>
      <c r="E37" s="34"/>
    </row>
    <row r="38" spans="1:5" ht="18" customHeight="1">
      <c r="A38" s="53" t="s">
        <v>47</v>
      </c>
      <c r="B38" s="14" t="s">
        <v>24</v>
      </c>
      <c r="C38" s="42" t="s">
        <v>6</v>
      </c>
      <c r="D38" s="131">
        <f>'прил 6'!I135</f>
        <v>4100.3004</v>
      </c>
      <c r="E38" s="34"/>
    </row>
    <row r="39" spans="1:5" ht="16.5" customHeight="1">
      <c r="A39" s="18" t="s">
        <v>25</v>
      </c>
      <c r="B39" s="20" t="s">
        <v>24</v>
      </c>
      <c r="C39" s="42" t="s">
        <v>8</v>
      </c>
      <c r="D39" s="132">
        <f>'прил 6'!I149</f>
        <v>389.9</v>
      </c>
      <c r="E39" s="35"/>
    </row>
    <row r="40" spans="1:5" ht="24" customHeight="1" hidden="1">
      <c r="A40" s="18" t="s">
        <v>26</v>
      </c>
      <c r="B40" s="20" t="s">
        <v>24</v>
      </c>
      <c r="C40" s="42" t="s">
        <v>11</v>
      </c>
      <c r="D40" s="133"/>
      <c r="E40" s="35"/>
    </row>
    <row r="41" spans="1:5" ht="13.5" customHeight="1" hidden="1">
      <c r="A41" s="21" t="s">
        <v>27</v>
      </c>
      <c r="B41" s="14" t="s">
        <v>15</v>
      </c>
      <c r="C41" s="38"/>
      <c r="D41" s="130">
        <f>SUM(D42:D45)</f>
        <v>0</v>
      </c>
      <c r="E41" s="34"/>
    </row>
    <row r="42" spans="1:5" ht="14.25" customHeight="1" hidden="1">
      <c r="A42" s="22" t="s">
        <v>28</v>
      </c>
      <c r="B42" s="14" t="s">
        <v>15</v>
      </c>
      <c r="C42" s="43" t="s">
        <v>6</v>
      </c>
      <c r="D42" s="134">
        <v>0</v>
      </c>
      <c r="E42" s="35"/>
    </row>
    <row r="43" spans="1:5" ht="15" customHeight="1" hidden="1">
      <c r="A43" s="18" t="s">
        <v>29</v>
      </c>
      <c r="B43" s="14" t="s">
        <v>15</v>
      </c>
      <c r="C43" s="44" t="s">
        <v>8</v>
      </c>
      <c r="D43" s="132">
        <v>0</v>
      </c>
      <c r="E43" s="35"/>
    </row>
    <row r="44" spans="1:5" ht="15.75" customHeight="1" hidden="1">
      <c r="A44" s="18" t="s">
        <v>30</v>
      </c>
      <c r="B44" s="14" t="s">
        <v>15</v>
      </c>
      <c r="C44" s="44" t="s">
        <v>15</v>
      </c>
      <c r="D44" s="132"/>
      <c r="E44" s="35"/>
    </row>
    <row r="45" spans="1:5" ht="17.25" customHeight="1" hidden="1">
      <c r="A45" s="18" t="s">
        <v>31</v>
      </c>
      <c r="B45" s="14" t="s">
        <v>15</v>
      </c>
      <c r="C45" s="44" t="s">
        <v>20</v>
      </c>
      <c r="D45" s="132"/>
      <c r="E45" s="35"/>
    </row>
    <row r="46" spans="1:5" ht="18" customHeight="1">
      <c r="A46" s="18" t="s">
        <v>54</v>
      </c>
      <c r="B46" s="20" t="s">
        <v>24</v>
      </c>
      <c r="C46" s="40" t="s">
        <v>9</v>
      </c>
      <c r="D46" s="132">
        <f>'прил 6'!I156</f>
        <v>8312.639009999999</v>
      </c>
      <c r="E46" s="35"/>
    </row>
    <row r="47" spans="1:5" ht="17.25" customHeight="1" hidden="1">
      <c r="A47" s="17" t="s">
        <v>27</v>
      </c>
      <c r="B47" s="50" t="s">
        <v>15</v>
      </c>
      <c r="C47" s="40" t="s">
        <v>55</v>
      </c>
      <c r="D47" s="132" t="e">
        <f>SUM(#REF!)</f>
        <v>#REF!</v>
      </c>
      <c r="E47" s="35"/>
    </row>
    <row r="48" spans="1:5" ht="25.5" customHeight="1">
      <c r="A48" s="17" t="s">
        <v>49</v>
      </c>
      <c r="B48" s="14" t="s">
        <v>32</v>
      </c>
      <c r="C48" s="40" t="s">
        <v>55</v>
      </c>
      <c r="D48" s="131">
        <f>'прил 6'!I192</f>
        <v>7359.35976</v>
      </c>
      <c r="E48" s="34"/>
    </row>
    <row r="49" spans="1:5" ht="18.75" customHeight="1">
      <c r="A49" s="18" t="s">
        <v>33</v>
      </c>
      <c r="B49" s="14" t="s">
        <v>32</v>
      </c>
      <c r="C49" s="44" t="s">
        <v>6</v>
      </c>
      <c r="D49" s="131">
        <f>'прил 6'!I193</f>
        <v>7359.35976</v>
      </c>
      <c r="E49" s="35"/>
    </row>
    <row r="50" spans="1:5" ht="24.75" customHeight="1" hidden="1">
      <c r="A50" s="23" t="s">
        <v>34</v>
      </c>
      <c r="B50" s="14" t="s">
        <v>32</v>
      </c>
      <c r="C50" s="44" t="s">
        <v>13</v>
      </c>
      <c r="D50" s="131"/>
      <c r="E50" s="35"/>
    </row>
    <row r="51" spans="1:5" ht="20.25" customHeight="1">
      <c r="A51" s="57" t="s">
        <v>36</v>
      </c>
      <c r="B51" s="38" t="s">
        <v>48</v>
      </c>
      <c r="C51" s="40" t="s">
        <v>55</v>
      </c>
      <c r="D51" s="131">
        <f>'прил 6'!I229</f>
        <v>80.36076</v>
      </c>
      <c r="E51" s="35"/>
    </row>
    <row r="52" spans="1:5" ht="24.75" customHeight="1">
      <c r="A52" s="58" t="s">
        <v>37</v>
      </c>
      <c r="B52" s="38" t="s">
        <v>48</v>
      </c>
      <c r="C52" s="44" t="s">
        <v>6</v>
      </c>
      <c r="D52" s="131">
        <f>'прил 6'!I230</f>
        <v>80.36076</v>
      </c>
      <c r="E52" s="35"/>
    </row>
    <row r="53" spans="1:5" ht="24.75" customHeight="1">
      <c r="A53" s="56" t="s">
        <v>203</v>
      </c>
      <c r="B53" s="38" t="s">
        <v>48</v>
      </c>
      <c r="C53" s="39" t="s">
        <v>13</v>
      </c>
      <c r="D53" s="131">
        <f>'прил 6'!I244</f>
        <v>0</v>
      </c>
      <c r="E53" s="35"/>
    </row>
    <row r="54" spans="1:5" ht="24.75" customHeight="1" hidden="1">
      <c r="A54" s="56" t="s">
        <v>144</v>
      </c>
      <c r="B54" s="38" t="s">
        <v>48</v>
      </c>
      <c r="C54" s="39" t="s">
        <v>11</v>
      </c>
      <c r="D54" s="131">
        <f>'прил 6'!I240</f>
        <v>0</v>
      </c>
      <c r="E54" s="35"/>
    </row>
    <row r="55" spans="1:5" ht="15.75" customHeight="1">
      <c r="A55" s="17" t="s">
        <v>73</v>
      </c>
      <c r="B55" s="14">
        <v>11</v>
      </c>
      <c r="C55" s="40" t="s">
        <v>55</v>
      </c>
      <c r="D55" s="131">
        <f>'прил 6'!I249</f>
        <v>300</v>
      </c>
      <c r="E55" s="34"/>
    </row>
    <row r="56" spans="1:5" ht="17.25" customHeight="1">
      <c r="A56" s="18" t="s">
        <v>72</v>
      </c>
      <c r="B56" s="14">
        <v>11</v>
      </c>
      <c r="C56" s="39" t="s">
        <v>8</v>
      </c>
      <c r="D56" s="131">
        <f>'прил 6'!I250</f>
        <v>300</v>
      </c>
      <c r="E56" s="35"/>
    </row>
    <row r="57" spans="1:5" ht="14.25" customHeight="1" hidden="1">
      <c r="A57" s="24" t="s">
        <v>35</v>
      </c>
      <c r="B57" s="14" t="s">
        <v>20</v>
      </c>
      <c r="C57" s="44" t="s">
        <v>8</v>
      </c>
      <c r="D57" s="55"/>
      <c r="E57" s="35"/>
    </row>
    <row r="58" spans="1:5" ht="16.5" customHeight="1" hidden="1">
      <c r="A58" s="25" t="s">
        <v>36</v>
      </c>
      <c r="B58" s="26">
        <v>10</v>
      </c>
      <c r="C58" s="45" t="s">
        <v>55</v>
      </c>
      <c r="D58" s="55">
        <f>SUM(D59:D61)</f>
        <v>0</v>
      </c>
      <c r="E58" s="34"/>
    </row>
    <row r="59" spans="1:5" ht="15" customHeight="1" hidden="1">
      <c r="A59" s="27" t="s">
        <v>37</v>
      </c>
      <c r="B59" s="28">
        <v>10</v>
      </c>
      <c r="C59" s="46" t="s">
        <v>6</v>
      </c>
      <c r="D59" s="55"/>
      <c r="E59" s="35"/>
    </row>
    <row r="60" spans="1:5" ht="18.75" customHeight="1" hidden="1">
      <c r="A60" s="27" t="s">
        <v>38</v>
      </c>
      <c r="B60" s="28">
        <v>10</v>
      </c>
      <c r="C60" s="46" t="s">
        <v>9</v>
      </c>
      <c r="D60" s="55"/>
      <c r="E60" s="35"/>
    </row>
    <row r="61" spans="1:5" ht="17.25" customHeight="1" hidden="1">
      <c r="A61" s="27" t="s">
        <v>39</v>
      </c>
      <c r="B61" s="28">
        <v>10</v>
      </c>
      <c r="C61" s="46" t="s">
        <v>13</v>
      </c>
      <c r="D61" s="55"/>
      <c r="E61" s="35"/>
    </row>
    <row r="62" spans="1:5" ht="15" customHeight="1" hidden="1">
      <c r="A62" s="29" t="s">
        <v>40</v>
      </c>
      <c r="B62" s="28">
        <v>11</v>
      </c>
      <c r="C62" s="48" t="s">
        <v>55</v>
      </c>
      <c r="D62" s="55">
        <f>SUM(D63)</f>
        <v>0</v>
      </c>
      <c r="E62" s="34"/>
    </row>
    <row r="63" spans="1:5" ht="16.5" customHeight="1" hidden="1">
      <c r="A63" s="27" t="s">
        <v>41</v>
      </c>
      <c r="B63" s="28">
        <v>11</v>
      </c>
      <c r="C63" s="47" t="s">
        <v>6</v>
      </c>
      <c r="D63" s="54"/>
      <c r="E63" s="35"/>
    </row>
    <row r="64" spans="1:5" ht="22.5" customHeight="1">
      <c r="A64" s="29" t="s">
        <v>42</v>
      </c>
      <c r="B64" s="30"/>
      <c r="C64" s="49"/>
      <c r="D64" s="150">
        <f>SUM(D18+D29+D31+D34+D37+D48+D55+D58+D51)</f>
        <v>46078.610607300005</v>
      </c>
      <c r="E64" s="145"/>
    </row>
    <row r="65" ht="12.75">
      <c r="E65" s="31"/>
    </row>
    <row r="66" ht="12.75">
      <c r="E66" s="31"/>
    </row>
    <row r="67" spans="1:5" ht="12.75">
      <c r="A67" s="1"/>
      <c r="E67" s="31"/>
    </row>
    <row r="68" spans="1:5" ht="12.75">
      <c r="A68" s="1"/>
      <c r="E68" s="31"/>
    </row>
    <row r="69" spans="1:5" ht="12.75">
      <c r="A69" s="1"/>
      <c r="E69" s="31"/>
    </row>
    <row r="70" spans="1:5" ht="16.5" customHeight="1">
      <c r="A70" s="1"/>
      <c r="E70" s="31"/>
    </row>
    <row r="71" spans="1:5" ht="12.75">
      <c r="A71" s="1"/>
      <c r="E71" s="31"/>
    </row>
    <row r="72" spans="1:5" ht="12.75">
      <c r="A72" s="1"/>
      <c r="E72" s="31"/>
    </row>
  </sheetData>
  <sheetProtection/>
  <mergeCells count="10">
    <mergeCell ref="D13:D16"/>
    <mergeCell ref="C13:C16"/>
    <mergeCell ref="C4:D4"/>
    <mergeCell ref="C5:D5"/>
    <mergeCell ref="E13:E16"/>
    <mergeCell ref="A9:D9"/>
    <mergeCell ref="A10:D10"/>
    <mergeCell ref="A11:D11"/>
    <mergeCell ref="A13:A16"/>
    <mergeCell ref="B13:B16"/>
  </mergeCells>
  <printOptions/>
  <pageMargins left="0.984251968503937" right="0" top="0.1968503937007874" bottom="0.984251968503937" header="0.31496062992125984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2"/>
  <sheetViews>
    <sheetView zoomScale="90" zoomScaleNormal="90" zoomScalePageLayoutView="0" workbookViewId="0" topLeftCell="A30">
      <selection activeCell="F4" sqref="F4:I4"/>
    </sheetView>
  </sheetViews>
  <sheetFormatPr defaultColWidth="9.00390625" defaultRowHeight="12.75"/>
  <cols>
    <col min="1" max="1" width="49.00390625" style="59" customWidth="1"/>
    <col min="2" max="2" width="5.125" style="59" hidden="1" customWidth="1"/>
    <col min="3" max="3" width="6.00390625" style="59" hidden="1" customWidth="1"/>
    <col min="4" max="4" width="6.00390625" style="59" customWidth="1"/>
    <col min="5" max="5" width="5.00390625" style="61" customWidth="1"/>
    <col min="6" max="6" width="5.125" style="59" customWidth="1"/>
    <col min="7" max="7" width="13.625" style="63" customWidth="1"/>
    <col min="8" max="8" width="5.00390625" style="59" customWidth="1"/>
    <col min="9" max="9" width="8.25390625" style="142" customWidth="1"/>
    <col min="10" max="10" width="8.625" style="59" hidden="1" customWidth="1"/>
    <col min="11" max="11" width="8.875" style="59" customWidth="1"/>
    <col min="12" max="12" width="8.25390625" style="59" customWidth="1"/>
    <col min="13" max="13" width="9.125" style="59" customWidth="1"/>
    <col min="14" max="14" width="14.00390625" style="59" bestFit="1" customWidth="1"/>
    <col min="15" max="16384" width="9.125" style="59" customWidth="1"/>
  </cols>
  <sheetData>
    <row r="1" spans="5:9" ht="12.75" customHeight="1">
      <c r="E1" s="60"/>
      <c r="F1" s="161" t="s">
        <v>282</v>
      </c>
      <c r="G1" s="161"/>
      <c r="H1" s="161"/>
      <c r="I1" s="161"/>
    </row>
    <row r="2" spans="5:9" ht="12.75" customHeight="1">
      <c r="E2" s="60"/>
      <c r="F2" s="161" t="s">
        <v>98</v>
      </c>
      <c r="G2" s="161"/>
      <c r="H2" s="161"/>
      <c r="I2" s="161"/>
    </row>
    <row r="3" spans="5:9" ht="13.5" customHeight="1" hidden="1">
      <c r="E3" s="60"/>
      <c r="F3" s="162"/>
      <c r="G3" s="162"/>
      <c r="H3" s="162"/>
      <c r="I3" s="162"/>
    </row>
    <row r="4" spans="5:9" ht="14.25" customHeight="1">
      <c r="E4" s="60"/>
      <c r="F4" s="161" t="s">
        <v>301</v>
      </c>
      <c r="G4" s="161"/>
      <c r="H4" s="161"/>
      <c r="I4" s="161"/>
    </row>
    <row r="5" spans="6:9" ht="5.25" customHeight="1">
      <c r="F5" s="146"/>
      <c r="G5" s="146"/>
      <c r="H5" s="146"/>
      <c r="I5" s="147"/>
    </row>
    <row r="6" spans="1:9" ht="4.5" customHeight="1">
      <c r="A6" s="163"/>
      <c r="B6" s="163"/>
      <c r="C6" s="163"/>
      <c r="D6" s="163"/>
      <c r="E6" s="163"/>
      <c r="F6" s="163"/>
      <c r="G6" s="163"/>
      <c r="H6" s="163"/>
      <c r="I6" s="163"/>
    </row>
    <row r="7" spans="1:9" ht="2.25" customHeight="1">
      <c r="A7" s="167"/>
      <c r="B7" s="167"/>
      <c r="C7" s="167"/>
      <c r="D7" s="167"/>
      <c r="E7" s="167"/>
      <c r="F7" s="167"/>
      <c r="G7" s="167"/>
      <c r="H7" s="167"/>
      <c r="I7" s="167"/>
    </row>
    <row r="8" spans="1:9" ht="1.5" customHeight="1">
      <c r="A8" s="170"/>
      <c r="B8" s="170"/>
      <c r="C8" s="170"/>
      <c r="D8" s="170"/>
      <c r="E8" s="170"/>
      <c r="F8" s="170"/>
      <c r="G8" s="170"/>
      <c r="H8" s="170"/>
      <c r="I8" s="170"/>
    </row>
    <row r="9" spans="1:9" ht="9.75" customHeight="1">
      <c r="A9" s="170"/>
      <c r="B9" s="170"/>
      <c r="C9" s="170"/>
      <c r="D9" s="170"/>
      <c r="E9" s="170"/>
      <c r="F9" s="170"/>
      <c r="G9" s="170"/>
      <c r="H9" s="170"/>
      <c r="I9" s="170"/>
    </row>
    <row r="10" spans="1:9" ht="31.5" customHeight="1">
      <c r="A10" s="171" t="s">
        <v>281</v>
      </c>
      <c r="B10" s="171"/>
      <c r="C10" s="171"/>
      <c r="D10" s="171"/>
      <c r="E10" s="171"/>
      <c r="F10" s="171"/>
      <c r="G10" s="171"/>
      <c r="H10" s="171"/>
      <c r="I10" s="171"/>
    </row>
    <row r="11" spans="1:9" ht="21" customHeight="1">
      <c r="A11" s="62"/>
      <c r="B11" s="62"/>
      <c r="C11" s="62"/>
      <c r="D11" s="62"/>
      <c r="E11" s="63"/>
      <c r="F11" s="63"/>
      <c r="H11" s="63"/>
      <c r="I11" s="136"/>
    </row>
    <row r="12" spans="1:12" ht="12" customHeight="1">
      <c r="A12" s="160" t="s">
        <v>211</v>
      </c>
      <c r="B12" s="160" t="s">
        <v>76</v>
      </c>
      <c r="C12" s="160" t="s">
        <v>46</v>
      </c>
      <c r="D12" s="160" t="s">
        <v>76</v>
      </c>
      <c r="E12" s="160" t="s">
        <v>77</v>
      </c>
      <c r="F12" s="160" t="s">
        <v>78</v>
      </c>
      <c r="G12" s="160" t="s">
        <v>43</v>
      </c>
      <c r="H12" s="160" t="s">
        <v>79</v>
      </c>
      <c r="I12" s="165" t="s">
        <v>80</v>
      </c>
      <c r="J12" s="160" t="s">
        <v>298</v>
      </c>
      <c r="K12" s="160"/>
      <c r="L12" s="168" t="s">
        <v>299</v>
      </c>
    </row>
    <row r="13" spans="1:12" ht="39" customHeight="1">
      <c r="A13" s="164"/>
      <c r="B13" s="160"/>
      <c r="C13" s="160"/>
      <c r="D13" s="160"/>
      <c r="E13" s="164"/>
      <c r="F13" s="164"/>
      <c r="G13" s="164"/>
      <c r="H13" s="164"/>
      <c r="I13" s="166"/>
      <c r="J13" s="160"/>
      <c r="K13" s="160"/>
      <c r="L13" s="169"/>
    </row>
    <row r="14" spans="1:12" ht="12">
      <c r="A14" s="64">
        <v>1</v>
      </c>
      <c r="B14" s="64"/>
      <c r="C14" s="64"/>
      <c r="D14" s="64">
        <v>2</v>
      </c>
      <c r="E14" s="65">
        <v>3</v>
      </c>
      <c r="F14" s="65">
        <v>4</v>
      </c>
      <c r="G14" s="65">
        <v>5</v>
      </c>
      <c r="H14" s="65">
        <v>6</v>
      </c>
      <c r="I14" s="149">
        <v>7</v>
      </c>
      <c r="J14" s="78"/>
      <c r="K14" s="65">
        <v>8</v>
      </c>
      <c r="L14" s="65">
        <v>9</v>
      </c>
    </row>
    <row r="15" spans="1:12" ht="15.75" customHeight="1">
      <c r="A15" s="85" t="s">
        <v>99</v>
      </c>
      <c r="B15" s="66"/>
      <c r="C15" s="66"/>
      <c r="D15" s="66">
        <v>819</v>
      </c>
      <c r="E15" s="67"/>
      <c r="F15" s="67"/>
      <c r="G15" s="67"/>
      <c r="H15" s="67"/>
      <c r="I15" s="137">
        <f>I16+I101+I112+I134+I192+I229+I249+I92</f>
        <v>46078.610607300005</v>
      </c>
      <c r="J15" s="137">
        <f>J16+J101+J112+J134+J192+J229+J249+J92</f>
        <v>46087.610607300005</v>
      </c>
      <c r="K15" s="137">
        <f>K16+K101+K112+K134+K192+K229+K249+K92</f>
        <v>13422.649619999998</v>
      </c>
      <c r="L15" s="137">
        <f>K15/I15*100</f>
        <v>29.129892249558225</v>
      </c>
    </row>
    <row r="16" spans="1:12" s="69" customFormat="1" ht="17.25" customHeight="1">
      <c r="A16" s="91" t="s">
        <v>5</v>
      </c>
      <c r="B16" s="92" t="s">
        <v>81</v>
      </c>
      <c r="C16" s="92" t="s">
        <v>81</v>
      </c>
      <c r="D16" s="92" t="s">
        <v>65</v>
      </c>
      <c r="E16" s="93" t="s">
        <v>6</v>
      </c>
      <c r="F16" s="93"/>
      <c r="G16" s="93"/>
      <c r="H16" s="93"/>
      <c r="I16" s="138">
        <f>I17+I30+I58+I62+I66+I71</f>
        <v>10693.49159</v>
      </c>
      <c r="J16" s="138">
        <f>J17+J30+J58+J62+J66+J71</f>
        <v>10697.49159</v>
      </c>
      <c r="K16" s="138">
        <f>K17+K30+K58+K62+K66+K71</f>
        <v>4291.90249</v>
      </c>
      <c r="L16" s="137">
        <f aca="true" t="shared" si="0" ref="L16:L79">K16/I16*100</f>
        <v>40.135651240550516</v>
      </c>
    </row>
    <row r="17" spans="1:12" s="72" customFormat="1" ht="22.5">
      <c r="A17" s="86" t="s">
        <v>82</v>
      </c>
      <c r="B17" s="70" t="s">
        <v>81</v>
      </c>
      <c r="C17" s="70" t="s">
        <v>81</v>
      </c>
      <c r="D17" s="70" t="s">
        <v>65</v>
      </c>
      <c r="E17" s="71" t="s">
        <v>6</v>
      </c>
      <c r="F17" s="71" t="s">
        <v>8</v>
      </c>
      <c r="G17" s="71"/>
      <c r="H17" s="71"/>
      <c r="I17" s="139">
        <f aca="true" t="shared" si="1" ref="I17:K18">I18</f>
        <v>884.34704</v>
      </c>
      <c r="J17" s="139">
        <f t="shared" si="1"/>
        <v>884.34704</v>
      </c>
      <c r="K17" s="139">
        <f t="shared" si="1"/>
        <v>370.38795</v>
      </c>
      <c r="L17" s="137">
        <f t="shared" si="0"/>
        <v>41.88264711102555</v>
      </c>
    </row>
    <row r="18" spans="1:12" ht="15" customHeight="1">
      <c r="A18" s="87" t="s">
        <v>105</v>
      </c>
      <c r="B18" s="73" t="s">
        <v>81</v>
      </c>
      <c r="C18" s="73" t="s">
        <v>81</v>
      </c>
      <c r="D18" s="73" t="s">
        <v>65</v>
      </c>
      <c r="E18" s="74" t="s">
        <v>6</v>
      </c>
      <c r="F18" s="74" t="s">
        <v>8</v>
      </c>
      <c r="G18" s="74" t="s">
        <v>156</v>
      </c>
      <c r="H18" s="74"/>
      <c r="I18" s="140">
        <f t="shared" si="1"/>
        <v>884.34704</v>
      </c>
      <c r="J18" s="140">
        <f t="shared" si="1"/>
        <v>884.34704</v>
      </c>
      <c r="K18" s="140">
        <f t="shared" si="1"/>
        <v>370.38795</v>
      </c>
      <c r="L18" s="137">
        <f t="shared" si="0"/>
        <v>41.88264711102555</v>
      </c>
    </row>
    <row r="19" spans="1:12" ht="17.25" customHeight="1">
      <c r="A19" s="87" t="s">
        <v>50</v>
      </c>
      <c r="B19" s="73" t="s">
        <v>81</v>
      </c>
      <c r="C19" s="73" t="s">
        <v>81</v>
      </c>
      <c r="D19" s="73" t="s">
        <v>65</v>
      </c>
      <c r="E19" s="74" t="s">
        <v>6</v>
      </c>
      <c r="F19" s="74" t="s">
        <v>8</v>
      </c>
      <c r="G19" s="74" t="s">
        <v>157</v>
      </c>
      <c r="H19" s="74"/>
      <c r="I19" s="140">
        <f>I21</f>
        <v>884.34704</v>
      </c>
      <c r="J19" s="140">
        <f>J21</f>
        <v>884.34704</v>
      </c>
      <c r="K19" s="140">
        <f>K21</f>
        <v>370.38795</v>
      </c>
      <c r="L19" s="137">
        <f t="shared" si="0"/>
        <v>41.88264711102555</v>
      </c>
    </row>
    <row r="20" spans="1:14" ht="26.25" customHeight="1">
      <c r="A20" s="87" t="s">
        <v>83</v>
      </c>
      <c r="B20" s="73"/>
      <c r="C20" s="73"/>
      <c r="D20" s="73" t="s">
        <v>65</v>
      </c>
      <c r="E20" s="74" t="s">
        <v>6</v>
      </c>
      <c r="F20" s="74" t="s">
        <v>8</v>
      </c>
      <c r="G20" s="74" t="s">
        <v>158</v>
      </c>
      <c r="H20" s="74"/>
      <c r="I20" s="140">
        <f>I21</f>
        <v>884.34704</v>
      </c>
      <c r="J20" s="140">
        <f>J21</f>
        <v>884.34704</v>
      </c>
      <c r="K20" s="140">
        <f>K21</f>
        <v>370.38795</v>
      </c>
      <c r="L20" s="137">
        <f t="shared" si="0"/>
        <v>41.88264711102555</v>
      </c>
      <c r="N20" s="129"/>
    </row>
    <row r="21" spans="1:12" ht="25.5" customHeight="1">
      <c r="A21" s="87" t="s">
        <v>102</v>
      </c>
      <c r="B21" s="73" t="s">
        <v>81</v>
      </c>
      <c r="C21" s="73" t="s">
        <v>81</v>
      </c>
      <c r="D21" s="73" t="s">
        <v>65</v>
      </c>
      <c r="E21" s="74" t="s">
        <v>6</v>
      </c>
      <c r="F21" s="74" t="s">
        <v>8</v>
      </c>
      <c r="G21" s="74" t="s">
        <v>158</v>
      </c>
      <c r="H21" s="74" t="s">
        <v>101</v>
      </c>
      <c r="I21" s="140">
        <f>884347.04/1000</f>
        <v>884.34704</v>
      </c>
      <c r="J21" s="140">
        <f>884347.04/1000</f>
        <v>884.34704</v>
      </c>
      <c r="K21" s="140">
        <f>370387.95/1000</f>
        <v>370.38795</v>
      </c>
      <c r="L21" s="137">
        <f t="shared" si="0"/>
        <v>41.88264711102555</v>
      </c>
    </row>
    <row r="22" spans="1:12" s="72" customFormat="1" ht="33.75" hidden="1">
      <c r="A22" s="86" t="s">
        <v>64</v>
      </c>
      <c r="B22" s="70" t="s">
        <v>81</v>
      </c>
      <c r="C22" s="70" t="s">
        <v>81</v>
      </c>
      <c r="D22" s="70" t="s">
        <v>65</v>
      </c>
      <c r="E22" s="71" t="s">
        <v>6</v>
      </c>
      <c r="F22" s="71" t="s">
        <v>9</v>
      </c>
      <c r="G22" s="71"/>
      <c r="H22" s="71"/>
      <c r="I22" s="139">
        <f>I23+I27</f>
        <v>0</v>
      </c>
      <c r="J22" s="139">
        <f>J23+J27</f>
        <v>0</v>
      </c>
      <c r="K22" s="139">
        <f>K23+K27</f>
        <v>0</v>
      </c>
      <c r="L22" s="137" t="e">
        <f t="shared" si="0"/>
        <v>#DIV/0!</v>
      </c>
    </row>
    <row r="23" spans="1:12" s="72" customFormat="1" ht="22.5" hidden="1">
      <c r="A23" s="87" t="s">
        <v>104</v>
      </c>
      <c r="B23" s="70"/>
      <c r="C23" s="73" t="s">
        <v>81</v>
      </c>
      <c r="D23" s="73" t="s">
        <v>65</v>
      </c>
      <c r="E23" s="74" t="s">
        <v>6</v>
      </c>
      <c r="F23" s="74" t="s">
        <v>9</v>
      </c>
      <c r="G23" s="74" t="s">
        <v>159</v>
      </c>
      <c r="H23" s="74"/>
      <c r="I23" s="140">
        <f>I24</f>
        <v>0</v>
      </c>
      <c r="J23" s="140">
        <f aca="true" t="shared" si="2" ref="J23:K25">J24</f>
        <v>0</v>
      </c>
      <c r="K23" s="140">
        <f t="shared" si="2"/>
        <v>0</v>
      </c>
      <c r="L23" s="137" t="e">
        <f t="shared" si="0"/>
        <v>#DIV/0!</v>
      </c>
    </row>
    <row r="24" spans="1:12" ht="12.75" hidden="1">
      <c r="A24" s="87" t="s">
        <v>63</v>
      </c>
      <c r="B24" s="73" t="s">
        <v>81</v>
      </c>
      <c r="C24" s="73" t="s">
        <v>81</v>
      </c>
      <c r="D24" s="73" t="s">
        <v>65</v>
      </c>
      <c r="E24" s="74" t="s">
        <v>6</v>
      </c>
      <c r="F24" s="74" t="s">
        <v>9</v>
      </c>
      <c r="G24" s="74" t="s">
        <v>160</v>
      </c>
      <c r="H24" s="74"/>
      <c r="I24" s="140">
        <f>I25</f>
        <v>0</v>
      </c>
      <c r="J24" s="140">
        <f t="shared" si="2"/>
        <v>0</v>
      </c>
      <c r="K24" s="140">
        <f t="shared" si="2"/>
        <v>0</v>
      </c>
      <c r="L24" s="137" t="e">
        <f t="shared" si="0"/>
        <v>#DIV/0!</v>
      </c>
    </row>
    <row r="25" spans="1:12" ht="22.5" hidden="1">
      <c r="A25" s="87" t="s">
        <v>83</v>
      </c>
      <c r="B25" s="73" t="s">
        <v>81</v>
      </c>
      <c r="C25" s="73" t="s">
        <v>81</v>
      </c>
      <c r="D25" s="73" t="s">
        <v>65</v>
      </c>
      <c r="E25" s="74" t="s">
        <v>6</v>
      </c>
      <c r="F25" s="74" t="s">
        <v>9</v>
      </c>
      <c r="G25" s="74" t="s">
        <v>161</v>
      </c>
      <c r="H25" s="74"/>
      <c r="I25" s="140">
        <f>I26</f>
        <v>0</v>
      </c>
      <c r="J25" s="140">
        <f t="shared" si="2"/>
        <v>0</v>
      </c>
      <c r="K25" s="140">
        <f t="shared" si="2"/>
        <v>0</v>
      </c>
      <c r="L25" s="137" t="e">
        <f t="shared" si="0"/>
        <v>#DIV/0!</v>
      </c>
    </row>
    <row r="26" spans="1:12" ht="18" customHeight="1" hidden="1">
      <c r="A26" s="87" t="s">
        <v>102</v>
      </c>
      <c r="B26" s="73"/>
      <c r="C26" s="73"/>
      <c r="D26" s="73" t="s">
        <v>65</v>
      </c>
      <c r="E26" s="74" t="s">
        <v>6</v>
      </c>
      <c r="F26" s="74" t="s">
        <v>9</v>
      </c>
      <c r="G26" s="74" t="s">
        <v>161</v>
      </c>
      <c r="H26" s="74" t="s">
        <v>101</v>
      </c>
      <c r="I26" s="140"/>
      <c r="J26" s="140"/>
      <c r="K26" s="140"/>
      <c r="L26" s="137" t="e">
        <f t="shared" si="0"/>
        <v>#DIV/0!</v>
      </c>
    </row>
    <row r="27" spans="1:12" ht="19.5" customHeight="1" hidden="1">
      <c r="A27" s="82" t="s">
        <v>121</v>
      </c>
      <c r="B27" s="73"/>
      <c r="C27" s="73"/>
      <c r="D27" s="73" t="s">
        <v>65</v>
      </c>
      <c r="E27" s="74" t="s">
        <v>6</v>
      </c>
      <c r="F27" s="74" t="s">
        <v>9</v>
      </c>
      <c r="G27" s="74" t="s">
        <v>212</v>
      </c>
      <c r="H27" s="74"/>
      <c r="I27" s="140">
        <f>I28</f>
        <v>0</v>
      </c>
      <c r="J27" s="140">
        <f>J28</f>
        <v>0</v>
      </c>
      <c r="K27" s="140">
        <f>K28</f>
        <v>0</v>
      </c>
      <c r="L27" s="137" t="e">
        <f t="shared" si="0"/>
        <v>#DIV/0!</v>
      </c>
    </row>
    <row r="28" spans="1:12" ht="24.75" customHeight="1" hidden="1">
      <c r="A28" s="82" t="s">
        <v>85</v>
      </c>
      <c r="B28" s="73"/>
      <c r="C28" s="73"/>
      <c r="D28" s="73" t="s">
        <v>65</v>
      </c>
      <c r="E28" s="74" t="s">
        <v>6</v>
      </c>
      <c r="F28" s="74" t="s">
        <v>9</v>
      </c>
      <c r="G28" s="74" t="s">
        <v>212</v>
      </c>
      <c r="H28" s="74" t="s">
        <v>101</v>
      </c>
      <c r="I28" s="140"/>
      <c r="J28" s="140"/>
      <c r="K28" s="140"/>
      <c r="L28" s="137" t="e">
        <f t="shared" si="0"/>
        <v>#DIV/0!</v>
      </c>
    </row>
    <row r="29" spans="1:12" ht="37.5" customHeight="1" hidden="1">
      <c r="A29" s="87" t="s">
        <v>142</v>
      </c>
      <c r="B29" s="73"/>
      <c r="C29" s="73"/>
      <c r="D29" s="73" t="s">
        <v>65</v>
      </c>
      <c r="E29" s="74" t="s">
        <v>6</v>
      </c>
      <c r="F29" s="74" t="s">
        <v>9</v>
      </c>
      <c r="G29" s="74" t="s">
        <v>212</v>
      </c>
      <c r="H29" s="74" t="s">
        <v>106</v>
      </c>
      <c r="I29" s="140"/>
      <c r="J29" s="140"/>
      <c r="K29" s="140"/>
      <c r="L29" s="137" t="e">
        <f t="shared" si="0"/>
        <v>#DIV/0!</v>
      </c>
    </row>
    <row r="30" spans="1:12" s="72" customFormat="1" ht="36" customHeight="1">
      <c r="A30" s="86" t="s">
        <v>56</v>
      </c>
      <c r="B30" s="70" t="s">
        <v>81</v>
      </c>
      <c r="C30" s="70" t="s">
        <v>81</v>
      </c>
      <c r="D30" s="70" t="s">
        <v>65</v>
      </c>
      <c r="E30" s="71" t="s">
        <v>6</v>
      </c>
      <c r="F30" s="71" t="s">
        <v>11</v>
      </c>
      <c r="G30" s="71"/>
      <c r="H30" s="71"/>
      <c r="I30" s="139">
        <f>I38+I44+I50+I31</f>
        <v>7289.12455</v>
      </c>
      <c r="J30" s="139">
        <f>J38+J44+J50+J31</f>
        <v>7292.12455</v>
      </c>
      <c r="K30" s="139">
        <f>K38+K44+K50+K31</f>
        <v>3022.95454</v>
      </c>
      <c r="L30" s="137">
        <f t="shared" si="0"/>
        <v>41.47212081867911</v>
      </c>
    </row>
    <row r="31" spans="1:12" s="72" customFormat="1" ht="28.5" customHeight="1" hidden="1">
      <c r="A31" s="97" t="s">
        <v>275</v>
      </c>
      <c r="B31" s="70"/>
      <c r="C31" s="70"/>
      <c r="D31" s="73" t="s">
        <v>65</v>
      </c>
      <c r="E31" s="74" t="s">
        <v>6</v>
      </c>
      <c r="F31" s="74" t="s">
        <v>11</v>
      </c>
      <c r="G31" s="74" t="s">
        <v>277</v>
      </c>
      <c r="H31" s="74"/>
      <c r="I31" s="140">
        <f>I32+I35</f>
        <v>0</v>
      </c>
      <c r="J31" s="140">
        <f>J32+J35</f>
        <v>1</v>
      </c>
      <c r="K31" s="140">
        <f>K32+K35</f>
        <v>0</v>
      </c>
      <c r="L31" s="137" t="e">
        <f t="shared" si="0"/>
        <v>#DIV/0!</v>
      </c>
    </row>
    <row r="32" spans="1:12" s="72" customFormat="1" ht="25.5" customHeight="1" hidden="1">
      <c r="A32" s="98" t="s">
        <v>230</v>
      </c>
      <c r="B32" s="70"/>
      <c r="C32" s="70"/>
      <c r="D32" s="73" t="s">
        <v>65</v>
      </c>
      <c r="E32" s="74" t="s">
        <v>6</v>
      </c>
      <c r="F32" s="74" t="s">
        <v>11</v>
      </c>
      <c r="G32" s="74" t="s">
        <v>277</v>
      </c>
      <c r="H32" s="74" t="s">
        <v>101</v>
      </c>
      <c r="I32" s="140">
        <v>0</v>
      </c>
      <c r="J32" s="140">
        <v>1</v>
      </c>
      <c r="K32" s="140">
        <v>0</v>
      </c>
      <c r="L32" s="137" t="e">
        <f t="shared" si="0"/>
        <v>#DIV/0!</v>
      </c>
    </row>
    <row r="33" spans="1:12" s="72" customFormat="1" ht="25.5" customHeight="1" hidden="1">
      <c r="A33" s="98" t="s">
        <v>163</v>
      </c>
      <c r="B33" s="70"/>
      <c r="C33" s="70"/>
      <c r="D33" s="73" t="s">
        <v>65</v>
      </c>
      <c r="E33" s="74" t="s">
        <v>6</v>
      </c>
      <c r="F33" s="74" t="s">
        <v>11</v>
      </c>
      <c r="G33" s="74" t="s">
        <v>166</v>
      </c>
      <c r="H33" s="74" t="s">
        <v>167</v>
      </c>
      <c r="I33" s="139">
        <f>I34</f>
        <v>0</v>
      </c>
      <c r="J33" s="139">
        <f>J34</f>
        <v>0</v>
      </c>
      <c r="K33" s="139">
        <f>K34</f>
        <v>0</v>
      </c>
      <c r="L33" s="137" t="e">
        <f t="shared" si="0"/>
        <v>#DIV/0!</v>
      </c>
    </row>
    <row r="34" spans="1:12" s="72" customFormat="1" ht="23.25" customHeight="1" hidden="1">
      <c r="A34" s="98" t="s">
        <v>164</v>
      </c>
      <c r="B34" s="70"/>
      <c r="C34" s="70"/>
      <c r="D34" s="73" t="s">
        <v>65</v>
      </c>
      <c r="E34" s="74" t="s">
        <v>6</v>
      </c>
      <c r="F34" s="74" t="s">
        <v>11</v>
      </c>
      <c r="G34" s="74" t="s">
        <v>166</v>
      </c>
      <c r="H34" s="74" t="s">
        <v>110</v>
      </c>
      <c r="I34" s="140">
        <f>(90000-90000)/1000</f>
        <v>0</v>
      </c>
      <c r="J34" s="140">
        <f>(90000-90000)/1000</f>
        <v>0</v>
      </c>
      <c r="K34" s="140">
        <f>(90000-90000)/1000</f>
        <v>0</v>
      </c>
      <c r="L34" s="137" t="e">
        <f t="shared" si="0"/>
        <v>#DIV/0!</v>
      </c>
    </row>
    <row r="35" spans="1:12" s="72" customFormat="1" ht="25.5" customHeight="1" hidden="1">
      <c r="A35" s="102" t="s">
        <v>178</v>
      </c>
      <c r="B35" s="70"/>
      <c r="C35" s="70"/>
      <c r="D35" s="73" t="s">
        <v>65</v>
      </c>
      <c r="E35" s="74" t="s">
        <v>6</v>
      </c>
      <c r="F35" s="74" t="s">
        <v>11</v>
      </c>
      <c r="G35" s="74" t="s">
        <v>168</v>
      </c>
      <c r="H35" s="74"/>
      <c r="I35" s="140">
        <f aca="true" t="shared" si="3" ref="I35:K36">I36</f>
        <v>0</v>
      </c>
      <c r="J35" s="140">
        <f t="shared" si="3"/>
        <v>0</v>
      </c>
      <c r="K35" s="140">
        <f t="shared" si="3"/>
        <v>0</v>
      </c>
      <c r="L35" s="137" t="e">
        <f t="shared" si="0"/>
        <v>#DIV/0!</v>
      </c>
    </row>
    <row r="36" spans="1:12" s="72" customFormat="1" ht="25.5" customHeight="1" hidden="1">
      <c r="A36" s="98" t="s">
        <v>228</v>
      </c>
      <c r="B36" s="70"/>
      <c r="C36" s="70"/>
      <c r="D36" s="73" t="s">
        <v>65</v>
      </c>
      <c r="E36" s="74" t="s">
        <v>6</v>
      </c>
      <c r="F36" s="74" t="s">
        <v>11</v>
      </c>
      <c r="G36" s="74" t="s">
        <v>168</v>
      </c>
      <c r="H36" s="74" t="s">
        <v>167</v>
      </c>
      <c r="I36" s="140">
        <f t="shared" si="3"/>
        <v>0</v>
      </c>
      <c r="J36" s="140">
        <f t="shared" si="3"/>
        <v>0</v>
      </c>
      <c r="K36" s="140">
        <f t="shared" si="3"/>
        <v>0</v>
      </c>
      <c r="L36" s="137" t="e">
        <f t="shared" si="0"/>
        <v>#DIV/0!</v>
      </c>
    </row>
    <row r="37" spans="1:12" s="72" customFormat="1" ht="25.5" customHeight="1" hidden="1">
      <c r="A37" s="98" t="s">
        <v>164</v>
      </c>
      <c r="B37" s="70"/>
      <c r="C37" s="70"/>
      <c r="D37" s="73" t="s">
        <v>65</v>
      </c>
      <c r="E37" s="74" t="s">
        <v>6</v>
      </c>
      <c r="F37" s="74" t="s">
        <v>11</v>
      </c>
      <c r="G37" s="74" t="s">
        <v>168</v>
      </c>
      <c r="H37" s="74" t="s">
        <v>110</v>
      </c>
      <c r="I37" s="140"/>
      <c r="J37" s="140"/>
      <c r="K37" s="140"/>
      <c r="L37" s="137" t="e">
        <f t="shared" si="0"/>
        <v>#DIV/0!</v>
      </c>
    </row>
    <row r="38" spans="1:12" s="72" customFormat="1" ht="26.25" customHeight="1">
      <c r="A38" s="103" t="s">
        <v>85</v>
      </c>
      <c r="B38" s="70"/>
      <c r="C38" s="70"/>
      <c r="D38" s="73" t="s">
        <v>65</v>
      </c>
      <c r="E38" s="74" t="s">
        <v>6</v>
      </c>
      <c r="F38" s="74" t="s">
        <v>11</v>
      </c>
      <c r="G38" s="74" t="s">
        <v>172</v>
      </c>
      <c r="H38" s="74"/>
      <c r="I38" s="140">
        <f>I39+I40+I47</f>
        <v>7289.12455</v>
      </c>
      <c r="J38" s="140">
        <f>J39+J40+J47</f>
        <v>7289.12455</v>
      </c>
      <c r="K38" s="140">
        <f>K39+K40+K47</f>
        <v>3022.95454</v>
      </c>
      <c r="L38" s="137">
        <f t="shared" si="0"/>
        <v>41.47212081867911</v>
      </c>
    </row>
    <row r="39" spans="1:12" s="72" customFormat="1" ht="20.25" customHeight="1">
      <c r="A39" s="98" t="s">
        <v>230</v>
      </c>
      <c r="B39" s="70"/>
      <c r="C39" s="70"/>
      <c r="D39" s="73" t="s">
        <v>65</v>
      </c>
      <c r="E39" s="74" t="s">
        <v>6</v>
      </c>
      <c r="F39" s="74" t="s">
        <v>11</v>
      </c>
      <c r="G39" s="74" t="s">
        <v>172</v>
      </c>
      <c r="H39" s="74" t="s">
        <v>101</v>
      </c>
      <c r="I39" s="140">
        <f>6033820/1000</f>
        <v>6033.82</v>
      </c>
      <c r="J39" s="140">
        <f>6033820/1000</f>
        <v>6033.82</v>
      </c>
      <c r="K39" s="140">
        <f>2430309.81/1000</f>
        <v>2430.30981</v>
      </c>
      <c r="L39" s="137">
        <f t="shared" si="0"/>
        <v>40.27812911223736</v>
      </c>
    </row>
    <row r="40" spans="1:12" ht="25.5" customHeight="1">
      <c r="A40" s="112" t="s">
        <v>228</v>
      </c>
      <c r="B40" s="73" t="s">
        <v>81</v>
      </c>
      <c r="C40" s="73" t="s">
        <v>81</v>
      </c>
      <c r="D40" s="73" t="s">
        <v>65</v>
      </c>
      <c r="E40" s="74" t="s">
        <v>6</v>
      </c>
      <c r="F40" s="74" t="s">
        <v>11</v>
      </c>
      <c r="G40" s="74" t="s">
        <v>172</v>
      </c>
      <c r="H40" s="74" t="s">
        <v>167</v>
      </c>
      <c r="I40" s="140">
        <f>I41</f>
        <v>1050.8047700000002</v>
      </c>
      <c r="J40" s="140">
        <f>J41</f>
        <v>1050.8047700000002</v>
      </c>
      <c r="K40" s="140">
        <f>K41</f>
        <v>446.10439</v>
      </c>
      <c r="L40" s="137">
        <f t="shared" si="0"/>
        <v>42.45359392496857</v>
      </c>
    </row>
    <row r="41" spans="1:12" ht="25.5" customHeight="1">
      <c r="A41" s="98" t="s">
        <v>164</v>
      </c>
      <c r="B41" s="73" t="s">
        <v>81</v>
      </c>
      <c r="C41" s="73" t="s">
        <v>81</v>
      </c>
      <c r="D41" s="73" t="s">
        <v>65</v>
      </c>
      <c r="E41" s="74" t="s">
        <v>6</v>
      </c>
      <c r="F41" s="74" t="s">
        <v>11</v>
      </c>
      <c r="G41" s="74" t="s">
        <v>172</v>
      </c>
      <c r="H41" s="74" t="s">
        <v>110</v>
      </c>
      <c r="I41" s="140">
        <f>1005464.77/1000+12340/1000+5000/1000-2000/1000+30000/1000</f>
        <v>1050.8047700000002</v>
      </c>
      <c r="J41" s="140">
        <f>1005464.77/1000+12340/1000+5000/1000-2000/1000+30000/1000</f>
        <v>1050.8047700000002</v>
      </c>
      <c r="K41" s="140">
        <f>446104.39/1000</f>
        <v>446.10439</v>
      </c>
      <c r="L41" s="137">
        <f t="shared" si="0"/>
        <v>42.45359392496857</v>
      </c>
    </row>
    <row r="42" spans="1:12" ht="25.5" customHeight="1" hidden="1">
      <c r="A42" s="98" t="s">
        <v>238</v>
      </c>
      <c r="B42" s="73"/>
      <c r="C42" s="73"/>
      <c r="D42" s="73" t="s">
        <v>65</v>
      </c>
      <c r="E42" s="74" t="s">
        <v>6</v>
      </c>
      <c r="F42" s="74" t="s">
        <v>11</v>
      </c>
      <c r="G42" s="74" t="s">
        <v>172</v>
      </c>
      <c r="H42" s="74" t="s">
        <v>237</v>
      </c>
      <c r="I42" s="140"/>
      <c r="J42" s="140"/>
      <c r="K42" s="140"/>
      <c r="L42" s="137" t="e">
        <f t="shared" si="0"/>
        <v>#DIV/0!</v>
      </c>
    </row>
    <row r="43" spans="1:12" ht="25.5" customHeight="1" hidden="1">
      <c r="A43" s="98" t="s">
        <v>239</v>
      </c>
      <c r="B43" s="73"/>
      <c r="C43" s="73"/>
      <c r="D43" s="73" t="s">
        <v>65</v>
      </c>
      <c r="E43" s="74" t="s">
        <v>6</v>
      </c>
      <c r="F43" s="74" t="s">
        <v>11</v>
      </c>
      <c r="G43" s="74" t="s">
        <v>172</v>
      </c>
      <c r="H43" s="74" t="s">
        <v>236</v>
      </c>
      <c r="I43" s="140"/>
      <c r="J43" s="140"/>
      <c r="K43" s="140"/>
      <c r="L43" s="137" t="e">
        <f t="shared" si="0"/>
        <v>#DIV/0!</v>
      </c>
    </row>
    <row r="44" spans="1:12" ht="21" customHeight="1" hidden="1">
      <c r="A44" s="98" t="s">
        <v>267</v>
      </c>
      <c r="B44" s="73"/>
      <c r="C44" s="73"/>
      <c r="D44" s="73" t="s">
        <v>65</v>
      </c>
      <c r="E44" s="74" t="s">
        <v>6</v>
      </c>
      <c r="F44" s="74" t="s">
        <v>11</v>
      </c>
      <c r="G44" s="74" t="s">
        <v>266</v>
      </c>
      <c r="H44" s="74"/>
      <c r="I44" s="140">
        <f aca="true" t="shared" si="4" ref="I44:K45">I45</f>
        <v>0</v>
      </c>
      <c r="J44" s="140">
        <f t="shared" si="4"/>
        <v>1</v>
      </c>
      <c r="K44" s="140">
        <f t="shared" si="4"/>
        <v>0</v>
      </c>
      <c r="L44" s="137" t="e">
        <f t="shared" si="0"/>
        <v>#DIV/0!</v>
      </c>
    </row>
    <row r="45" spans="1:12" ht="25.5" customHeight="1" hidden="1">
      <c r="A45" s="112" t="s">
        <v>228</v>
      </c>
      <c r="B45" s="73"/>
      <c r="C45" s="73"/>
      <c r="D45" s="73" t="s">
        <v>65</v>
      </c>
      <c r="E45" s="74" t="s">
        <v>6</v>
      </c>
      <c r="F45" s="74" t="s">
        <v>11</v>
      </c>
      <c r="G45" s="74" t="s">
        <v>266</v>
      </c>
      <c r="H45" s="74" t="s">
        <v>167</v>
      </c>
      <c r="I45" s="140">
        <f t="shared" si="4"/>
        <v>0</v>
      </c>
      <c r="J45" s="140">
        <f t="shared" si="4"/>
        <v>1</v>
      </c>
      <c r="K45" s="140">
        <f t="shared" si="4"/>
        <v>0</v>
      </c>
      <c r="L45" s="137" t="e">
        <f t="shared" si="0"/>
        <v>#DIV/0!</v>
      </c>
    </row>
    <row r="46" spans="1:12" ht="25.5" customHeight="1" hidden="1">
      <c r="A46" s="98" t="s">
        <v>164</v>
      </c>
      <c r="B46" s="73"/>
      <c r="C46" s="73"/>
      <c r="D46" s="73" t="s">
        <v>65</v>
      </c>
      <c r="E46" s="74" t="s">
        <v>6</v>
      </c>
      <c r="F46" s="74" t="s">
        <v>11</v>
      </c>
      <c r="G46" s="74" t="s">
        <v>263</v>
      </c>
      <c r="H46" s="74" t="s">
        <v>110</v>
      </c>
      <c r="I46" s="140">
        <v>0</v>
      </c>
      <c r="J46" s="140">
        <v>1</v>
      </c>
      <c r="K46" s="140">
        <v>0</v>
      </c>
      <c r="L46" s="137" t="e">
        <f t="shared" si="0"/>
        <v>#DIV/0!</v>
      </c>
    </row>
    <row r="47" spans="1:12" ht="15.75" customHeight="1">
      <c r="A47" s="99" t="s">
        <v>87</v>
      </c>
      <c r="B47" s="73"/>
      <c r="C47" s="73"/>
      <c r="D47" s="73" t="s">
        <v>65</v>
      </c>
      <c r="E47" s="74" t="s">
        <v>6</v>
      </c>
      <c r="F47" s="74" t="s">
        <v>11</v>
      </c>
      <c r="G47" s="74" t="s">
        <v>172</v>
      </c>
      <c r="H47" s="74" t="s">
        <v>88</v>
      </c>
      <c r="I47" s="140">
        <f>I49+I48</f>
        <v>204.49978</v>
      </c>
      <c r="J47" s="140">
        <f>J49+J48</f>
        <v>204.49978</v>
      </c>
      <c r="K47" s="140">
        <f>K49+K48</f>
        <v>146.54034000000001</v>
      </c>
      <c r="L47" s="137">
        <f t="shared" si="0"/>
        <v>71.657945059892</v>
      </c>
    </row>
    <row r="48" spans="1:12" ht="16.5" customHeight="1">
      <c r="A48" s="99" t="s">
        <v>215</v>
      </c>
      <c r="B48" s="73"/>
      <c r="C48" s="73"/>
      <c r="D48" s="73" t="s">
        <v>65</v>
      </c>
      <c r="E48" s="74" t="s">
        <v>6</v>
      </c>
      <c r="F48" s="74" t="s">
        <v>11</v>
      </c>
      <c r="G48" s="74" t="s">
        <v>172</v>
      </c>
      <c r="H48" s="74" t="s">
        <v>214</v>
      </c>
      <c r="I48" s="140">
        <f>15000/1000+11991/1000+44.53/1000+1950/1000+65434.1/1000+2617/1000+5463.15/1000+2000/1000</f>
        <v>104.49978</v>
      </c>
      <c r="J48" s="140">
        <f>15000/1000+11991/1000+44.53/1000+1950/1000+65434.1/1000+2617/1000+5463.15/1000+2000/1000</f>
        <v>104.49978</v>
      </c>
      <c r="K48" s="140">
        <f>100641.27/1000</f>
        <v>100.64127</v>
      </c>
      <c r="L48" s="137">
        <f t="shared" si="0"/>
        <v>96.307638159621</v>
      </c>
    </row>
    <row r="49" spans="1:12" ht="17.25" customHeight="1">
      <c r="A49" s="99" t="s">
        <v>113</v>
      </c>
      <c r="B49" s="73"/>
      <c r="C49" s="73"/>
      <c r="D49" s="73" t="s">
        <v>65</v>
      </c>
      <c r="E49" s="74" t="s">
        <v>6</v>
      </c>
      <c r="F49" s="74" t="s">
        <v>11</v>
      </c>
      <c r="G49" s="74" t="s">
        <v>172</v>
      </c>
      <c r="H49" s="74" t="s">
        <v>114</v>
      </c>
      <c r="I49" s="140">
        <f>'[1]0104'!$D$115/1000</f>
        <v>100</v>
      </c>
      <c r="J49" s="140">
        <f>'[1]0104'!$D$115/1000</f>
        <v>100</v>
      </c>
      <c r="K49" s="140">
        <f>45899.07/1000</f>
        <v>45.89907</v>
      </c>
      <c r="L49" s="137">
        <f t="shared" si="0"/>
        <v>45.89907</v>
      </c>
    </row>
    <row r="50" spans="1:12" ht="27" customHeight="1" hidden="1">
      <c r="A50" s="87" t="s">
        <v>143</v>
      </c>
      <c r="B50" s="73" t="s">
        <v>65</v>
      </c>
      <c r="C50" s="73" t="s">
        <v>6</v>
      </c>
      <c r="D50" s="73" t="s">
        <v>65</v>
      </c>
      <c r="E50" s="74" t="s">
        <v>6</v>
      </c>
      <c r="F50" s="74" t="s">
        <v>11</v>
      </c>
      <c r="G50" s="74" t="s">
        <v>218</v>
      </c>
      <c r="H50" s="74"/>
      <c r="I50" s="140">
        <f aca="true" t="shared" si="5" ref="I50:K51">I51</f>
        <v>0</v>
      </c>
      <c r="J50" s="140">
        <f t="shared" si="5"/>
        <v>1</v>
      </c>
      <c r="K50" s="140">
        <f t="shared" si="5"/>
        <v>0</v>
      </c>
      <c r="L50" s="137" t="e">
        <f t="shared" si="0"/>
        <v>#DIV/0!</v>
      </c>
    </row>
    <row r="51" spans="1:12" ht="25.5" customHeight="1" hidden="1">
      <c r="A51" s="98" t="s">
        <v>228</v>
      </c>
      <c r="B51" s="73" t="s">
        <v>65</v>
      </c>
      <c r="C51" s="73" t="s">
        <v>6</v>
      </c>
      <c r="D51" s="73" t="s">
        <v>65</v>
      </c>
      <c r="E51" s="74" t="s">
        <v>6</v>
      </c>
      <c r="F51" s="74" t="s">
        <v>11</v>
      </c>
      <c r="G51" s="74" t="s">
        <v>218</v>
      </c>
      <c r="H51" s="74" t="s">
        <v>167</v>
      </c>
      <c r="I51" s="140">
        <f t="shared" si="5"/>
        <v>0</v>
      </c>
      <c r="J51" s="140">
        <f t="shared" si="5"/>
        <v>1</v>
      </c>
      <c r="K51" s="140">
        <f t="shared" si="5"/>
        <v>0</v>
      </c>
      <c r="L51" s="137" t="e">
        <f t="shared" si="0"/>
        <v>#DIV/0!</v>
      </c>
    </row>
    <row r="52" spans="1:12" ht="24.75" customHeight="1" hidden="1">
      <c r="A52" s="87" t="s">
        <v>109</v>
      </c>
      <c r="B52" s="73" t="s">
        <v>65</v>
      </c>
      <c r="C52" s="73" t="s">
        <v>6</v>
      </c>
      <c r="D52" s="73" t="s">
        <v>65</v>
      </c>
      <c r="E52" s="74" t="s">
        <v>6</v>
      </c>
      <c r="F52" s="74" t="s">
        <v>11</v>
      </c>
      <c r="G52" s="74" t="s">
        <v>218</v>
      </c>
      <c r="H52" s="74" t="s">
        <v>110</v>
      </c>
      <c r="I52" s="140">
        <v>0</v>
      </c>
      <c r="J52" s="140">
        <v>1</v>
      </c>
      <c r="K52" s="140">
        <v>0</v>
      </c>
      <c r="L52" s="137" t="e">
        <f t="shared" si="0"/>
        <v>#DIV/0!</v>
      </c>
    </row>
    <row r="53" spans="1:12" ht="15" customHeight="1" hidden="1">
      <c r="A53" s="86" t="s">
        <v>14</v>
      </c>
      <c r="B53" s="70"/>
      <c r="C53" s="70"/>
      <c r="D53" s="70" t="s">
        <v>65</v>
      </c>
      <c r="E53" s="71" t="s">
        <v>6</v>
      </c>
      <c r="F53" s="71" t="s">
        <v>15</v>
      </c>
      <c r="G53" s="71"/>
      <c r="H53" s="71"/>
      <c r="I53" s="139">
        <f>I54</f>
        <v>0</v>
      </c>
      <c r="J53" s="139">
        <f aca="true" t="shared" si="6" ref="J53:K55">J54</f>
        <v>0</v>
      </c>
      <c r="K53" s="139">
        <f t="shared" si="6"/>
        <v>0</v>
      </c>
      <c r="L53" s="137" t="e">
        <f t="shared" si="0"/>
        <v>#DIV/0!</v>
      </c>
    </row>
    <row r="54" spans="1:12" ht="15" customHeight="1" hidden="1">
      <c r="A54" s="83" t="s">
        <v>44</v>
      </c>
      <c r="B54" s="73"/>
      <c r="C54" s="73"/>
      <c r="D54" s="73" t="s">
        <v>65</v>
      </c>
      <c r="E54" s="74" t="s">
        <v>6</v>
      </c>
      <c r="F54" s="74" t="s">
        <v>15</v>
      </c>
      <c r="G54" s="74" t="s">
        <v>115</v>
      </c>
      <c r="H54" s="74"/>
      <c r="I54" s="140">
        <f>I55</f>
        <v>0</v>
      </c>
      <c r="J54" s="140">
        <f t="shared" si="6"/>
        <v>0</v>
      </c>
      <c r="K54" s="140">
        <f t="shared" si="6"/>
        <v>0</v>
      </c>
      <c r="L54" s="137" t="e">
        <f t="shared" si="0"/>
        <v>#DIV/0!</v>
      </c>
    </row>
    <row r="55" spans="1:12" ht="14.25" customHeight="1" hidden="1">
      <c r="A55" s="82" t="s">
        <v>57</v>
      </c>
      <c r="B55" s="73"/>
      <c r="C55" s="73"/>
      <c r="D55" s="73" t="s">
        <v>65</v>
      </c>
      <c r="E55" s="74" t="s">
        <v>6</v>
      </c>
      <c r="F55" s="74" t="s">
        <v>15</v>
      </c>
      <c r="G55" s="74" t="s">
        <v>116</v>
      </c>
      <c r="H55" s="74"/>
      <c r="I55" s="140">
        <f>I56</f>
        <v>0</v>
      </c>
      <c r="J55" s="140">
        <f t="shared" si="6"/>
        <v>0</v>
      </c>
      <c r="K55" s="140">
        <f t="shared" si="6"/>
        <v>0</v>
      </c>
      <c r="L55" s="137" t="e">
        <f t="shared" si="0"/>
        <v>#DIV/0!</v>
      </c>
    </row>
    <row r="56" spans="1:12" ht="16.5" customHeight="1" hidden="1">
      <c r="A56" s="82" t="s">
        <v>87</v>
      </c>
      <c r="B56" s="73"/>
      <c r="C56" s="73"/>
      <c r="D56" s="73" t="s">
        <v>65</v>
      </c>
      <c r="E56" s="74" t="s">
        <v>6</v>
      </c>
      <c r="F56" s="74" t="s">
        <v>15</v>
      </c>
      <c r="G56" s="74" t="s">
        <v>137</v>
      </c>
      <c r="H56" s="74" t="s">
        <v>88</v>
      </c>
      <c r="I56" s="140"/>
      <c r="J56" s="140"/>
      <c r="K56" s="140"/>
      <c r="L56" s="137" t="e">
        <f t="shared" si="0"/>
        <v>#DIV/0!</v>
      </c>
    </row>
    <row r="57" spans="1:12" ht="16.5" customHeight="1" hidden="1">
      <c r="A57" s="82" t="s">
        <v>117</v>
      </c>
      <c r="B57" s="73"/>
      <c r="C57" s="73"/>
      <c r="D57" s="73" t="s">
        <v>65</v>
      </c>
      <c r="E57" s="74" t="s">
        <v>6</v>
      </c>
      <c r="F57" s="74" t="s">
        <v>15</v>
      </c>
      <c r="G57" s="74" t="s">
        <v>137</v>
      </c>
      <c r="H57" s="74" t="s">
        <v>118</v>
      </c>
      <c r="I57" s="140"/>
      <c r="J57" s="140"/>
      <c r="K57" s="140"/>
      <c r="L57" s="137" t="e">
        <f t="shared" si="0"/>
        <v>#DIV/0!</v>
      </c>
    </row>
    <row r="58" spans="1:12" ht="25.5" customHeight="1">
      <c r="A58" s="100" t="s">
        <v>169</v>
      </c>
      <c r="B58" s="73"/>
      <c r="C58" s="73"/>
      <c r="D58" s="70" t="s">
        <v>65</v>
      </c>
      <c r="E58" s="71" t="s">
        <v>6</v>
      </c>
      <c r="F58" s="71" t="s">
        <v>13</v>
      </c>
      <c r="G58" s="74"/>
      <c r="H58" s="74"/>
      <c r="I58" s="139">
        <f>I59</f>
        <v>15.3</v>
      </c>
      <c r="J58" s="139">
        <f aca="true" t="shared" si="7" ref="J58:K60">J59</f>
        <v>15.3</v>
      </c>
      <c r="K58" s="139">
        <f t="shared" si="7"/>
        <v>0</v>
      </c>
      <c r="L58" s="137">
        <f t="shared" si="0"/>
        <v>0</v>
      </c>
    </row>
    <row r="59" spans="1:12" ht="24.75" customHeight="1">
      <c r="A59" s="98" t="s">
        <v>170</v>
      </c>
      <c r="B59" s="73"/>
      <c r="C59" s="73"/>
      <c r="D59" s="73" t="s">
        <v>65</v>
      </c>
      <c r="E59" s="74" t="s">
        <v>6</v>
      </c>
      <c r="F59" s="74" t="s">
        <v>13</v>
      </c>
      <c r="G59" s="74" t="s">
        <v>171</v>
      </c>
      <c r="H59" s="74"/>
      <c r="I59" s="140">
        <f>I60</f>
        <v>15.3</v>
      </c>
      <c r="J59" s="140">
        <f t="shared" si="7"/>
        <v>15.3</v>
      </c>
      <c r="K59" s="140">
        <f t="shared" si="7"/>
        <v>0</v>
      </c>
      <c r="L59" s="137">
        <f t="shared" si="0"/>
        <v>0</v>
      </c>
    </row>
    <row r="60" spans="1:12" ht="16.5" customHeight="1">
      <c r="A60" s="101" t="s">
        <v>40</v>
      </c>
      <c r="B60" s="73"/>
      <c r="C60" s="73"/>
      <c r="D60" s="73" t="s">
        <v>65</v>
      </c>
      <c r="E60" s="74" t="s">
        <v>6</v>
      </c>
      <c r="F60" s="74" t="s">
        <v>13</v>
      </c>
      <c r="G60" s="74" t="s">
        <v>171</v>
      </c>
      <c r="H60" s="74" t="s">
        <v>173</v>
      </c>
      <c r="I60" s="140">
        <f>I61</f>
        <v>15.3</v>
      </c>
      <c r="J60" s="140">
        <f t="shared" si="7"/>
        <v>15.3</v>
      </c>
      <c r="K60" s="140">
        <f t="shared" si="7"/>
        <v>0</v>
      </c>
      <c r="L60" s="137">
        <f t="shared" si="0"/>
        <v>0</v>
      </c>
    </row>
    <row r="61" spans="1:12" ht="16.5" customHeight="1">
      <c r="A61" s="101" t="s">
        <v>225</v>
      </c>
      <c r="B61" s="73"/>
      <c r="C61" s="73"/>
      <c r="D61" s="73" t="s">
        <v>65</v>
      </c>
      <c r="E61" s="74" t="s">
        <v>6</v>
      </c>
      <c r="F61" s="74" t="s">
        <v>13</v>
      </c>
      <c r="G61" s="74" t="s">
        <v>171</v>
      </c>
      <c r="H61" s="74" t="s">
        <v>224</v>
      </c>
      <c r="I61" s="140">
        <f>15300/1000</f>
        <v>15.3</v>
      </c>
      <c r="J61" s="140">
        <f>15300/1000</f>
        <v>15.3</v>
      </c>
      <c r="K61" s="140">
        <v>0</v>
      </c>
      <c r="L61" s="137">
        <f t="shared" si="0"/>
        <v>0</v>
      </c>
    </row>
    <row r="62" spans="1:12" ht="16.5" customHeight="1" hidden="1">
      <c r="A62" s="100" t="s">
        <v>14</v>
      </c>
      <c r="B62" s="73"/>
      <c r="C62" s="73"/>
      <c r="D62" s="70" t="s">
        <v>65</v>
      </c>
      <c r="E62" s="71" t="s">
        <v>6</v>
      </c>
      <c r="F62" s="71" t="s">
        <v>15</v>
      </c>
      <c r="G62" s="74"/>
      <c r="H62" s="74"/>
      <c r="I62" s="140">
        <f>I63</f>
        <v>0</v>
      </c>
      <c r="J62" s="140">
        <f aca="true" t="shared" si="8" ref="J62:K64">J63</f>
        <v>1</v>
      </c>
      <c r="K62" s="140">
        <f t="shared" si="8"/>
        <v>0</v>
      </c>
      <c r="L62" s="137" t="e">
        <f t="shared" si="0"/>
        <v>#DIV/0!</v>
      </c>
    </row>
    <row r="63" spans="1:12" ht="16.5" customHeight="1" hidden="1">
      <c r="A63" s="98" t="s">
        <v>44</v>
      </c>
      <c r="B63" s="73"/>
      <c r="C63" s="73"/>
      <c r="D63" s="73" t="s">
        <v>65</v>
      </c>
      <c r="E63" s="74" t="s">
        <v>6</v>
      </c>
      <c r="F63" s="74" t="s">
        <v>15</v>
      </c>
      <c r="G63" s="74" t="s">
        <v>174</v>
      </c>
      <c r="H63" s="74"/>
      <c r="I63" s="140">
        <f>I64</f>
        <v>0</v>
      </c>
      <c r="J63" s="140">
        <f t="shared" si="8"/>
        <v>1</v>
      </c>
      <c r="K63" s="140">
        <f t="shared" si="8"/>
        <v>0</v>
      </c>
      <c r="L63" s="137" t="e">
        <f t="shared" si="0"/>
        <v>#DIV/0!</v>
      </c>
    </row>
    <row r="64" spans="1:12" ht="25.5" customHeight="1" hidden="1">
      <c r="A64" s="98" t="s">
        <v>228</v>
      </c>
      <c r="B64" s="73"/>
      <c r="C64" s="73"/>
      <c r="D64" s="73" t="s">
        <v>65</v>
      </c>
      <c r="E64" s="74" t="s">
        <v>6</v>
      </c>
      <c r="F64" s="74" t="s">
        <v>15</v>
      </c>
      <c r="G64" s="74" t="s">
        <v>174</v>
      </c>
      <c r="H64" s="74" t="s">
        <v>167</v>
      </c>
      <c r="I64" s="140">
        <f>I65</f>
        <v>0</v>
      </c>
      <c r="J64" s="140">
        <f t="shared" si="8"/>
        <v>1</v>
      </c>
      <c r="K64" s="140">
        <f t="shared" si="8"/>
        <v>0</v>
      </c>
      <c r="L64" s="137" t="e">
        <f t="shared" si="0"/>
        <v>#DIV/0!</v>
      </c>
    </row>
    <row r="65" spans="1:12" ht="29.25" customHeight="1" hidden="1">
      <c r="A65" s="87" t="s">
        <v>109</v>
      </c>
      <c r="B65" s="73"/>
      <c r="C65" s="73"/>
      <c r="D65" s="73" t="s">
        <v>65</v>
      </c>
      <c r="E65" s="74" t="s">
        <v>6</v>
      </c>
      <c r="F65" s="74" t="s">
        <v>15</v>
      </c>
      <c r="G65" s="74" t="s">
        <v>174</v>
      </c>
      <c r="H65" s="74" t="s">
        <v>110</v>
      </c>
      <c r="I65" s="140">
        <v>0</v>
      </c>
      <c r="J65" s="140">
        <v>1</v>
      </c>
      <c r="K65" s="140">
        <v>0</v>
      </c>
      <c r="L65" s="137" t="e">
        <f t="shared" si="0"/>
        <v>#DIV/0!</v>
      </c>
    </row>
    <row r="66" spans="1:12" ht="15.75" customHeight="1">
      <c r="A66" s="86" t="s">
        <v>17</v>
      </c>
      <c r="B66" s="73" t="s">
        <v>6</v>
      </c>
      <c r="C66" s="73" t="s">
        <v>45</v>
      </c>
      <c r="D66" s="70" t="s">
        <v>65</v>
      </c>
      <c r="E66" s="71" t="s">
        <v>6</v>
      </c>
      <c r="F66" s="71" t="s">
        <v>70</v>
      </c>
      <c r="G66" s="71"/>
      <c r="H66" s="71"/>
      <c r="I66" s="139">
        <f>I67</f>
        <v>500</v>
      </c>
      <c r="J66" s="139">
        <f aca="true" t="shared" si="9" ref="J66:K69">J67</f>
        <v>500</v>
      </c>
      <c r="K66" s="139">
        <f t="shared" si="9"/>
        <v>0</v>
      </c>
      <c r="L66" s="137">
        <f t="shared" si="0"/>
        <v>0</v>
      </c>
    </row>
    <row r="67" spans="1:12" ht="15.75" customHeight="1">
      <c r="A67" s="104" t="s">
        <v>17</v>
      </c>
      <c r="B67" s="73" t="s">
        <v>6</v>
      </c>
      <c r="C67" s="73" t="s">
        <v>45</v>
      </c>
      <c r="D67" s="73" t="s">
        <v>65</v>
      </c>
      <c r="E67" s="74" t="s">
        <v>6</v>
      </c>
      <c r="F67" s="74" t="s">
        <v>70</v>
      </c>
      <c r="G67" s="74" t="s">
        <v>176</v>
      </c>
      <c r="H67" s="74"/>
      <c r="I67" s="140">
        <f>I68</f>
        <v>500</v>
      </c>
      <c r="J67" s="140">
        <f t="shared" si="9"/>
        <v>500</v>
      </c>
      <c r="K67" s="140">
        <f t="shared" si="9"/>
        <v>0</v>
      </c>
      <c r="L67" s="137">
        <f t="shared" si="0"/>
        <v>0</v>
      </c>
    </row>
    <row r="68" spans="1:12" ht="15.75" customHeight="1">
      <c r="A68" s="105" t="s">
        <v>175</v>
      </c>
      <c r="B68" s="73" t="s">
        <v>6</v>
      </c>
      <c r="C68" s="73" t="s">
        <v>45</v>
      </c>
      <c r="D68" s="73" t="s">
        <v>65</v>
      </c>
      <c r="E68" s="74" t="s">
        <v>6</v>
      </c>
      <c r="F68" s="74" t="s">
        <v>70</v>
      </c>
      <c r="G68" s="74" t="s">
        <v>176</v>
      </c>
      <c r="H68" s="74"/>
      <c r="I68" s="140">
        <f>I69</f>
        <v>500</v>
      </c>
      <c r="J68" s="140">
        <f t="shared" si="9"/>
        <v>500</v>
      </c>
      <c r="K68" s="140">
        <f t="shared" si="9"/>
        <v>0</v>
      </c>
      <c r="L68" s="137">
        <f t="shared" si="0"/>
        <v>0</v>
      </c>
    </row>
    <row r="69" spans="1:12" ht="18" customHeight="1">
      <c r="A69" s="104" t="s">
        <v>87</v>
      </c>
      <c r="B69" s="73"/>
      <c r="C69" s="73"/>
      <c r="D69" s="73" t="s">
        <v>65</v>
      </c>
      <c r="E69" s="74" t="s">
        <v>6</v>
      </c>
      <c r="F69" s="74" t="s">
        <v>70</v>
      </c>
      <c r="G69" s="74" t="s">
        <v>176</v>
      </c>
      <c r="H69" s="74" t="s">
        <v>88</v>
      </c>
      <c r="I69" s="140">
        <f>I70</f>
        <v>500</v>
      </c>
      <c r="J69" s="140">
        <f t="shared" si="9"/>
        <v>500</v>
      </c>
      <c r="K69" s="140">
        <f t="shared" si="9"/>
        <v>0</v>
      </c>
      <c r="L69" s="137">
        <f t="shared" si="0"/>
        <v>0</v>
      </c>
    </row>
    <row r="70" spans="1:12" ht="17.25" customHeight="1">
      <c r="A70" s="104" t="s">
        <v>119</v>
      </c>
      <c r="B70" s="73"/>
      <c r="C70" s="73"/>
      <c r="D70" s="73" t="s">
        <v>65</v>
      </c>
      <c r="E70" s="74" t="s">
        <v>6</v>
      </c>
      <c r="F70" s="74" t="s">
        <v>70</v>
      </c>
      <c r="G70" s="74" t="s">
        <v>176</v>
      </c>
      <c r="H70" s="74" t="s">
        <v>120</v>
      </c>
      <c r="I70" s="140">
        <f>500000/1000</f>
        <v>500</v>
      </c>
      <c r="J70" s="140">
        <f>500000/1000</f>
        <v>500</v>
      </c>
      <c r="K70" s="140">
        <v>0</v>
      </c>
      <c r="L70" s="137">
        <f t="shared" si="0"/>
        <v>0</v>
      </c>
    </row>
    <row r="71" spans="1:12" ht="17.25" customHeight="1">
      <c r="A71" s="86" t="s">
        <v>18</v>
      </c>
      <c r="B71" s="70"/>
      <c r="C71" s="70"/>
      <c r="D71" s="70" t="s">
        <v>65</v>
      </c>
      <c r="E71" s="71" t="s">
        <v>6</v>
      </c>
      <c r="F71" s="71" t="s">
        <v>71</v>
      </c>
      <c r="G71" s="71"/>
      <c r="H71" s="71"/>
      <c r="I71" s="139">
        <f>I72+I79+I82+I76+I91</f>
        <v>2004.72</v>
      </c>
      <c r="J71" s="139">
        <f>J72+J79+J82+J76+J91</f>
        <v>2004.72</v>
      </c>
      <c r="K71" s="139">
        <f>K72+K79+K82+K76+K91</f>
        <v>898.56</v>
      </c>
      <c r="L71" s="137">
        <f t="shared" si="0"/>
        <v>44.82221956183407</v>
      </c>
    </row>
    <row r="72" spans="1:12" ht="17.25" customHeight="1">
      <c r="A72" s="104" t="s">
        <v>86</v>
      </c>
      <c r="B72" s="73"/>
      <c r="C72" s="73"/>
      <c r="D72" s="73" t="s">
        <v>65</v>
      </c>
      <c r="E72" s="74" t="s">
        <v>6</v>
      </c>
      <c r="F72" s="74" t="s">
        <v>71</v>
      </c>
      <c r="G72" s="74" t="s">
        <v>179</v>
      </c>
      <c r="H72" s="74"/>
      <c r="I72" s="140">
        <f>I73</f>
        <v>384</v>
      </c>
      <c r="J72" s="140">
        <f aca="true" t="shared" si="10" ref="J72:K74">J73</f>
        <v>384</v>
      </c>
      <c r="K72" s="140">
        <f t="shared" si="10"/>
        <v>19.5</v>
      </c>
      <c r="L72" s="137">
        <f t="shared" si="0"/>
        <v>5.078125</v>
      </c>
    </row>
    <row r="73" spans="1:12" ht="27" customHeight="1">
      <c r="A73" s="104" t="s">
        <v>180</v>
      </c>
      <c r="B73" s="73"/>
      <c r="C73" s="73"/>
      <c r="D73" s="73" t="s">
        <v>65</v>
      </c>
      <c r="E73" s="74" t="s">
        <v>6</v>
      </c>
      <c r="F73" s="74" t="s">
        <v>71</v>
      </c>
      <c r="G73" s="74" t="s">
        <v>179</v>
      </c>
      <c r="H73" s="74"/>
      <c r="I73" s="140">
        <f>I74</f>
        <v>384</v>
      </c>
      <c r="J73" s="140">
        <f t="shared" si="10"/>
        <v>384</v>
      </c>
      <c r="K73" s="140">
        <f t="shared" si="10"/>
        <v>19.5</v>
      </c>
      <c r="L73" s="137">
        <f t="shared" si="0"/>
        <v>5.078125</v>
      </c>
    </row>
    <row r="74" spans="1:12" ht="26.25" customHeight="1">
      <c r="A74" s="98" t="s">
        <v>228</v>
      </c>
      <c r="B74" s="73"/>
      <c r="C74" s="73"/>
      <c r="D74" s="73" t="s">
        <v>65</v>
      </c>
      <c r="E74" s="74" t="s">
        <v>6</v>
      </c>
      <c r="F74" s="74" t="s">
        <v>71</v>
      </c>
      <c r="G74" s="74" t="s">
        <v>179</v>
      </c>
      <c r="H74" s="74" t="s">
        <v>167</v>
      </c>
      <c r="I74" s="140">
        <f>I75</f>
        <v>384</v>
      </c>
      <c r="J74" s="140">
        <f t="shared" si="10"/>
        <v>384</v>
      </c>
      <c r="K74" s="140">
        <f t="shared" si="10"/>
        <v>19.5</v>
      </c>
      <c r="L74" s="137">
        <f t="shared" si="0"/>
        <v>5.078125</v>
      </c>
    </row>
    <row r="75" spans="1:12" ht="26.25" customHeight="1">
      <c r="A75" s="103" t="s">
        <v>109</v>
      </c>
      <c r="B75" s="73"/>
      <c r="C75" s="73"/>
      <c r="D75" s="73" t="s">
        <v>65</v>
      </c>
      <c r="E75" s="74" t="s">
        <v>6</v>
      </c>
      <c r="F75" s="74" t="s">
        <v>71</v>
      </c>
      <c r="G75" s="74" t="s">
        <v>179</v>
      </c>
      <c r="H75" s="74" t="s">
        <v>110</v>
      </c>
      <c r="I75" s="140">
        <f>114000/1000+300000/1000-30000/1000</f>
        <v>384</v>
      </c>
      <c r="J75" s="140">
        <f>114000/1000+300000/1000-30000/1000</f>
        <v>384</v>
      </c>
      <c r="K75" s="140">
        <f>19500/1000</f>
        <v>19.5</v>
      </c>
      <c r="L75" s="137">
        <f t="shared" si="0"/>
        <v>5.078125</v>
      </c>
    </row>
    <row r="76" spans="1:12" ht="26.25" customHeight="1">
      <c r="A76" s="87" t="s">
        <v>143</v>
      </c>
      <c r="B76" s="73"/>
      <c r="C76" s="73"/>
      <c r="D76" s="73" t="s">
        <v>65</v>
      </c>
      <c r="E76" s="74" t="s">
        <v>6</v>
      </c>
      <c r="F76" s="74" t="s">
        <v>71</v>
      </c>
      <c r="G76" s="74" t="s">
        <v>283</v>
      </c>
      <c r="H76" s="74"/>
      <c r="I76" s="140">
        <f aca="true" t="shared" si="11" ref="I76:K77">I77</f>
        <v>75</v>
      </c>
      <c r="J76" s="140">
        <f t="shared" si="11"/>
        <v>75</v>
      </c>
      <c r="K76" s="140">
        <f t="shared" si="11"/>
        <v>0</v>
      </c>
      <c r="L76" s="137">
        <f t="shared" si="0"/>
        <v>0</v>
      </c>
    </row>
    <row r="77" spans="1:12" ht="26.25" customHeight="1">
      <c r="A77" s="98" t="s">
        <v>228</v>
      </c>
      <c r="B77" s="73"/>
      <c r="C77" s="73"/>
      <c r="D77" s="73" t="s">
        <v>65</v>
      </c>
      <c r="E77" s="74" t="s">
        <v>6</v>
      </c>
      <c r="F77" s="74" t="s">
        <v>71</v>
      </c>
      <c r="G77" s="74" t="s">
        <v>283</v>
      </c>
      <c r="H77" s="74" t="s">
        <v>167</v>
      </c>
      <c r="I77" s="140">
        <f t="shared" si="11"/>
        <v>75</v>
      </c>
      <c r="J77" s="140">
        <f t="shared" si="11"/>
        <v>75</v>
      </c>
      <c r="K77" s="140">
        <f t="shared" si="11"/>
        <v>0</v>
      </c>
      <c r="L77" s="137">
        <f t="shared" si="0"/>
        <v>0</v>
      </c>
    </row>
    <row r="78" spans="1:12" ht="26.25" customHeight="1">
      <c r="A78" s="87" t="s">
        <v>109</v>
      </c>
      <c r="B78" s="73"/>
      <c r="C78" s="73"/>
      <c r="D78" s="73" t="s">
        <v>65</v>
      </c>
      <c r="E78" s="74" t="s">
        <v>6</v>
      </c>
      <c r="F78" s="74" t="s">
        <v>71</v>
      </c>
      <c r="G78" s="74" t="s">
        <v>283</v>
      </c>
      <c r="H78" s="74" t="s">
        <v>110</v>
      </c>
      <c r="I78" s="140">
        <f>75000/1000</f>
        <v>75</v>
      </c>
      <c r="J78" s="140">
        <f>75000/1000</f>
        <v>75</v>
      </c>
      <c r="K78" s="140">
        <v>0</v>
      </c>
      <c r="L78" s="137">
        <f t="shared" si="0"/>
        <v>0</v>
      </c>
    </row>
    <row r="79" spans="1:12" ht="26.25" customHeight="1">
      <c r="A79" s="104" t="s">
        <v>295</v>
      </c>
      <c r="B79" s="73"/>
      <c r="C79" s="73"/>
      <c r="D79" s="73" t="s">
        <v>65</v>
      </c>
      <c r="E79" s="74" t="s">
        <v>6</v>
      </c>
      <c r="F79" s="74" t="s">
        <v>71</v>
      </c>
      <c r="G79" s="74" t="s">
        <v>293</v>
      </c>
      <c r="H79" s="74"/>
      <c r="I79" s="140">
        <f aca="true" t="shared" si="12" ref="I79:K80">I80</f>
        <v>406.66</v>
      </c>
      <c r="J79" s="140">
        <f t="shared" si="12"/>
        <v>406.66</v>
      </c>
      <c r="K79" s="140">
        <f t="shared" si="12"/>
        <v>0</v>
      </c>
      <c r="L79" s="137">
        <f t="shared" si="0"/>
        <v>0</v>
      </c>
    </row>
    <row r="80" spans="1:12" ht="26.25" customHeight="1">
      <c r="A80" s="103" t="s">
        <v>228</v>
      </c>
      <c r="B80" s="73"/>
      <c r="C80" s="73"/>
      <c r="D80" s="73" t="s">
        <v>65</v>
      </c>
      <c r="E80" s="74" t="s">
        <v>6</v>
      </c>
      <c r="F80" s="74" t="s">
        <v>71</v>
      </c>
      <c r="G80" s="74" t="s">
        <v>290</v>
      </c>
      <c r="H80" s="74" t="s">
        <v>167</v>
      </c>
      <c r="I80" s="140">
        <f t="shared" si="12"/>
        <v>406.66</v>
      </c>
      <c r="J80" s="140">
        <f t="shared" si="12"/>
        <v>406.66</v>
      </c>
      <c r="K80" s="140">
        <f t="shared" si="12"/>
        <v>0</v>
      </c>
      <c r="L80" s="137">
        <f aca="true" t="shared" si="13" ref="L80:L143">K80/I80*100</f>
        <v>0</v>
      </c>
    </row>
    <row r="81" spans="1:12" ht="26.25" customHeight="1">
      <c r="A81" s="103" t="s">
        <v>109</v>
      </c>
      <c r="B81" s="73"/>
      <c r="C81" s="73"/>
      <c r="D81" s="73" t="s">
        <v>65</v>
      </c>
      <c r="E81" s="74" t="s">
        <v>6</v>
      </c>
      <c r="F81" s="74" t="s">
        <v>71</v>
      </c>
      <c r="G81" s="74" t="s">
        <v>290</v>
      </c>
      <c r="H81" s="74" t="s">
        <v>110</v>
      </c>
      <c r="I81" s="140">
        <f>406660/1000</f>
        <v>406.66</v>
      </c>
      <c r="J81" s="140">
        <f>406660/1000</f>
        <v>406.66</v>
      </c>
      <c r="K81" s="140">
        <v>0</v>
      </c>
      <c r="L81" s="137">
        <f t="shared" si="13"/>
        <v>0</v>
      </c>
    </row>
    <row r="82" spans="1:12" ht="27" customHeight="1">
      <c r="A82" s="103" t="s">
        <v>231</v>
      </c>
      <c r="B82" s="73"/>
      <c r="C82" s="73"/>
      <c r="D82" s="73" t="s">
        <v>65</v>
      </c>
      <c r="E82" s="74" t="s">
        <v>6</v>
      </c>
      <c r="F82" s="74" t="s">
        <v>71</v>
      </c>
      <c r="G82" s="74" t="s">
        <v>233</v>
      </c>
      <c r="H82" s="74"/>
      <c r="I82" s="140">
        <f>I83+I86</f>
        <v>260</v>
      </c>
      <c r="J82" s="140">
        <f>J83+J86</f>
        <v>260</v>
      </c>
      <c r="K82" s="140">
        <f>K83+K86</f>
        <v>0</v>
      </c>
      <c r="L82" s="137">
        <f t="shared" si="13"/>
        <v>0</v>
      </c>
    </row>
    <row r="83" spans="1:12" ht="24.75" customHeight="1" hidden="1">
      <c r="A83" s="103" t="s">
        <v>241</v>
      </c>
      <c r="B83" s="73"/>
      <c r="C83" s="73"/>
      <c r="D83" s="73" t="s">
        <v>65</v>
      </c>
      <c r="E83" s="74" t="s">
        <v>6</v>
      </c>
      <c r="F83" s="74" t="s">
        <v>71</v>
      </c>
      <c r="G83" s="74" t="s">
        <v>240</v>
      </c>
      <c r="H83" s="74"/>
      <c r="I83" s="140">
        <f aca="true" t="shared" si="14" ref="I83:K84">I84</f>
        <v>0</v>
      </c>
      <c r="J83" s="140">
        <f t="shared" si="14"/>
        <v>0</v>
      </c>
      <c r="K83" s="140">
        <f t="shared" si="14"/>
        <v>0</v>
      </c>
      <c r="L83" s="137" t="e">
        <f t="shared" si="13"/>
        <v>#DIV/0!</v>
      </c>
    </row>
    <row r="84" spans="1:12" ht="26.25" customHeight="1" hidden="1">
      <c r="A84" s="103" t="s">
        <v>228</v>
      </c>
      <c r="B84" s="73"/>
      <c r="C84" s="73"/>
      <c r="D84" s="73" t="s">
        <v>65</v>
      </c>
      <c r="E84" s="74" t="s">
        <v>6</v>
      </c>
      <c r="F84" s="74" t="s">
        <v>71</v>
      </c>
      <c r="G84" s="74" t="s">
        <v>242</v>
      </c>
      <c r="H84" s="74" t="s">
        <v>167</v>
      </c>
      <c r="I84" s="140">
        <f t="shared" si="14"/>
        <v>0</v>
      </c>
      <c r="J84" s="140">
        <f t="shared" si="14"/>
        <v>0</v>
      </c>
      <c r="K84" s="140">
        <f t="shared" si="14"/>
        <v>0</v>
      </c>
      <c r="L84" s="137" t="e">
        <f t="shared" si="13"/>
        <v>#DIV/0!</v>
      </c>
    </row>
    <row r="85" spans="1:12" ht="27.75" customHeight="1" hidden="1">
      <c r="A85" s="103" t="s">
        <v>109</v>
      </c>
      <c r="B85" s="73"/>
      <c r="C85" s="73"/>
      <c r="D85" s="73" t="s">
        <v>65</v>
      </c>
      <c r="E85" s="74" t="s">
        <v>6</v>
      </c>
      <c r="F85" s="74" t="s">
        <v>71</v>
      </c>
      <c r="G85" s="74" t="s">
        <v>240</v>
      </c>
      <c r="H85" s="74" t="s">
        <v>110</v>
      </c>
      <c r="I85" s="140"/>
      <c r="J85" s="140"/>
      <c r="K85" s="140"/>
      <c r="L85" s="137" t="e">
        <f t="shared" si="13"/>
        <v>#DIV/0!</v>
      </c>
    </row>
    <row r="86" spans="1:12" ht="21.75" customHeight="1">
      <c r="A86" s="103" t="s">
        <v>232</v>
      </c>
      <c r="B86" s="73"/>
      <c r="C86" s="73"/>
      <c r="D86" s="73" t="s">
        <v>65</v>
      </c>
      <c r="E86" s="74" t="s">
        <v>6</v>
      </c>
      <c r="F86" s="74" t="s">
        <v>71</v>
      </c>
      <c r="G86" s="74" t="s">
        <v>234</v>
      </c>
      <c r="H86" s="74"/>
      <c r="I86" s="140">
        <f aca="true" t="shared" si="15" ref="I86:K87">I87</f>
        <v>260</v>
      </c>
      <c r="J86" s="140">
        <f t="shared" si="15"/>
        <v>260</v>
      </c>
      <c r="K86" s="140">
        <f t="shared" si="15"/>
        <v>0</v>
      </c>
      <c r="L86" s="137">
        <f t="shared" si="13"/>
        <v>0</v>
      </c>
    </row>
    <row r="87" spans="1:12" ht="26.25" customHeight="1">
      <c r="A87" s="103" t="s">
        <v>228</v>
      </c>
      <c r="B87" s="73"/>
      <c r="C87" s="73"/>
      <c r="D87" s="73" t="s">
        <v>65</v>
      </c>
      <c r="E87" s="74" t="s">
        <v>6</v>
      </c>
      <c r="F87" s="74" t="s">
        <v>71</v>
      </c>
      <c r="G87" s="74" t="s">
        <v>235</v>
      </c>
      <c r="H87" s="74" t="s">
        <v>167</v>
      </c>
      <c r="I87" s="140">
        <f t="shared" si="15"/>
        <v>260</v>
      </c>
      <c r="J87" s="140">
        <f t="shared" si="15"/>
        <v>260</v>
      </c>
      <c r="K87" s="140">
        <f t="shared" si="15"/>
        <v>0</v>
      </c>
      <c r="L87" s="137">
        <f t="shared" si="13"/>
        <v>0</v>
      </c>
    </row>
    <row r="88" spans="1:12" ht="26.25" customHeight="1">
      <c r="A88" s="103" t="s">
        <v>109</v>
      </c>
      <c r="B88" s="73"/>
      <c r="C88" s="73"/>
      <c r="D88" s="73" t="s">
        <v>65</v>
      </c>
      <c r="E88" s="74" t="s">
        <v>6</v>
      </c>
      <c r="F88" s="74" t="s">
        <v>71</v>
      </c>
      <c r="G88" s="74" t="s">
        <v>234</v>
      </c>
      <c r="H88" s="74"/>
      <c r="I88" s="140">
        <f>'[1]0113 (225)'!$C$16/1000</f>
        <v>260</v>
      </c>
      <c r="J88" s="140">
        <f>'[1]0113 (225)'!$C$16/1000</f>
        <v>260</v>
      </c>
      <c r="K88" s="140">
        <v>0</v>
      </c>
      <c r="L88" s="137">
        <f t="shared" si="13"/>
        <v>0</v>
      </c>
    </row>
    <row r="89" spans="1:12" ht="26.25" customHeight="1">
      <c r="A89" s="103" t="s">
        <v>87</v>
      </c>
      <c r="B89" s="73"/>
      <c r="C89" s="73"/>
      <c r="D89" s="73" t="s">
        <v>65</v>
      </c>
      <c r="E89" s="74" t="s">
        <v>6</v>
      </c>
      <c r="F89" s="74" t="s">
        <v>71</v>
      </c>
      <c r="G89" s="74" t="s">
        <v>234</v>
      </c>
      <c r="H89" s="74" t="s">
        <v>167</v>
      </c>
      <c r="I89" s="140">
        <f>I90</f>
        <v>879.06</v>
      </c>
      <c r="J89" s="140"/>
      <c r="K89" s="140">
        <f>K90</f>
        <v>879.06</v>
      </c>
      <c r="L89" s="137">
        <f t="shared" si="13"/>
        <v>100</v>
      </c>
    </row>
    <row r="90" spans="1:12" ht="26.25" customHeight="1">
      <c r="A90" s="103" t="s">
        <v>215</v>
      </c>
      <c r="B90" s="73"/>
      <c r="C90" s="73"/>
      <c r="D90" s="73" t="s">
        <v>65</v>
      </c>
      <c r="E90" s="74" t="s">
        <v>6</v>
      </c>
      <c r="F90" s="74" t="s">
        <v>71</v>
      </c>
      <c r="G90" s="74" t="s">
        <v>234</v>
      </c>
      <c r="H90" s="74" t="s">
        <v>110</v>
      </c>
      <c r="I90" s="140">
        <f>I91</f>
        <v>879.06</v>
      </c>
      <c r="J90" s="140"/>
      <c r="K90" s="140">
        <f>K91</f>
        <v>879.06</v>
      </c>
      <c r="L90" s="137">
        <f t="shared" si="13"/>
        <v>100</v>
      </c>
    </row>
    <row r="91" spans="1:12" ht="26.25" customHeight="1">
      <c r="A91" s="103" t="s">
        <v>300</v>
      </c>
      <c r="B91" s="73"/>
      <c r="C91" s="73"/>
      <c r="D91" s="73" t="s">
        <v>65</v>
      </c>
      <c r="E91" s="74" t="s">
        <v>6</v>
      </c>
      <c r="F91" s="74" t="s">
        <v>71</v>
      </c>
      <c r="G91" s="74" t="s">
        <v>234</v>
      </c>
      <c r="H91" s="74" t="s">
        <v>271</v>
      </c>
      <c r="I91" s="140">
        <f>879060/1000</f>
        <v>879.06</v>
      </c>
      <c r="J91" s="140">
        <f>879060/1000</f>
        <v>879.06</v>
      </c>
      <c r="K91" s="140">
        <f>879060/1000</f>
        <v>879.06</v>
      </c>
      <c r="L91" s="137">
        <f t="shared" si="13"/>
        <v>100</v>
      </c>
    </row>
    <row r="92" spans="1:12" ht="24.75" customHeight="1">
      <c r="A92" s="86" t="s">
        <v>52</v>
      </c>
      <c r="B92" s="73"/>
      <c r="C92" s="73"/>
      <c r="D92" s="70" t="s">
        <v>65</v>
      </c>
      <c r="E92" s="67" t="s">
        <v>8</v>
      </c>
      <c r="F92" s="67" t="s">
        <v>55</v>
      </c>
      <c r="G92" s="67"/>
      <c r="H92" s="67"/>
      <c r="I92" s="138">
        <f>I93</f>
        <v>370.8999973</v>
      </c>
      <c r="J92" s="138">
        <f aca="true" t="shared" si="16" ref="J92:K94">J93</f>
        <v>370.8999973</v>
      </c>
      <c r="K92" s="138">
        <f t="shared" si="16"/>
        <v>109.79978</v>
      </c>
      <c r="L92" s="137">
        <f t="shared" si="13"/>
        <v>29.603607656860987</v>
      </c>
    </row>
    <row r="93" spans="1:12" ht="18.75" customHeight="1">
      <c r="A93" s="86" t="s">
        <v>53</v>
      </c>
      <c r="B93" s="70"/>
      <c r="C93" s="70"/>
      <c r="D93" s="70" t="s">
        <v>65</v>
      </c>
      <c r="E93" s="71" t="s">
        <v>8</v>
      </c>
      <c r="F93" s="71" t="s">
        <v>9</v>
      </c>
      <c r="G93" s="71"/>
      <c r="H93" s="71"/>
      <c r="I93" s="139">
        <f>I94</f>
        <v>370.8999973</v>
      </c>
      <c r="J93" s="139">
        <f t="shared" si="16"/>
        <v>370.8999973</v>
      </c>
      <c r="K93" s="139">
        <f t="shared" si="16"/>
        <v>109.79978</v>
      </c>
      <c r="L93" s="137">
        <f t="shared" si="13"/>
        <v>29.603607656860987</v>
      </c>
    </row>
    <row r="94" spans="1:12" ht="19.5" customHeight="1">
      <c r="A94" s="88" t="s">
        <v>89</v>
      </c>
      <c r="B94" s="75"/>
      <c r="C94" s="75"/>
      <c r="D94" s="75" t="s">
        <v>65</v>
      </c>
      <c r="E94" s="76" t="s">
        <v>8</v>
      </c>
      <c r="F94" s="76" t="s">
        <v>9</v>
      </c>
      <c r="G94" s="74" t="s">
        <v>223</v>
      </c>
      <c r="H94" s="76"/>
      <c r="I94" s="140">
        <f>I95</f>
        <v>370.8999973</v>
      </c>
      <c r="J94" s="140">
        <f t="shared" si="16"/>
        <v>370.8999973</v>
      </c>
      <c r="K94" s="140">
        <f t="shared" si="16"/>
        <v>109.79978</v>
      </c>
      <c r="L94" s="137">
        <f t="shared" si="13"/>
        <v>29.603607656860987</v>
      </c>
    </row>
    <row r="95" spans="1:12" ht="38.25" customHeight="1">
      <c r="A95" s="82" t="s">
        <v>84</v>
      </c>
      <c r="B95" s="73"/>
      <c r="C95" s="73"/>
      <c r="D95" s="73" t="s">
        <v>65</v>
      </c>
      <c r="E95" s="74" t="s">
        <v>8</v>
      </c>
      <c r="F95" s="74" t="s">
        <v>9</v>
      </c>
      <c r="G95" s="74" t="s">
        <v>222</v>
      </c>
      <c r="H95" s="74"/>
      <c r="I95" s="140">
        <f>I96+I99</f>
        <v>370.8999973</v>
      </c>
      <c r="J95" s="140">
        <f>J96+J99</f>
        <v>370.8999973</v>
      </c>
      <c r="K95" s="140">
        <f>K96+K99</f>
        <v>109.79978</v>
      </c>
      <c r="L95" s="137">
        <f t="shared" si="13"/>
        <v>29.603607656860987</v>
      </c>
    </row>
    <row r="96" spans="1:12" ht="24" customHeight="1">
      <c r="A96" s="98" t="s">
        <v>155</v>
      </c>
      <c r="B96" s="73"/>
      <c r="C96" s="73"/>
      <c r="D96" s="73" t="s">
        <v>65</v>
      </c>
      <c r="E96" s="74" t="s">
        <v>8</v>
      </c>
      <c r="F96" s="74" t="s">
        <v>9</v>
      </c>
      <c r="G96" s="74" t="s">
        <v>222</v>
      </c>
      <c r="H96" s="74" t="s">
        <v>101</v>
      </c>
      <c r="I96" s="140">
        <f>'[1]0203'!$D$10/1000</f>
        <v>354.1999973</v>
      </c>
      <c r="J96" s="140">
        <f>'[1]0203'!$D$10/1000</f>
        <v>354.1999973</v>
      </c>
      <c r="K96" s="140">
        <f>104990.02/1000</f>
        <v>104.99002</v>
      </c>
      <c r="L96" s="137">
        <f t="shared" si="13"/>
        <v>29.641451383489326</v>
      </c>
    </row>
    <row r="97" spans="1:12" ht="24.75" customHeight="1" hidden="1">
      <c r="A97" s="82" t="s">
        <v>103</v>
      </c>
      <c r="B97" s="73"/>
      <c r="C97" s="73"/>
      <c r="D97" s="73" t="s">
        <v>65</v>
      </c>
      <c r="E97" s="74" t="s">
        <v>8</v>
      </c>
      <c r="F97" s="74" t="s">
        <v>9</v>
      </c>
      <c r="G97" s="74" t="s">
        <v>222</v>
      </c>
      <c r="H97" s="74" t="s">
        <v>100</v>
      </c>
      <c r="I97" s="140">
        <f>251100/1000</f>
        <v>251.1</v>
      </c>
      <c r="J97" s="140">
        <f>251100/1000</f>
        <v>251.1</v>
      </c>
      <c r="K97" s="140">
        <v>0</v>
      </c>
      <c r="L97" s="137">
        <f t="shared" si="13"/>
        <v>0</v>
      </c>
    </row>
    <row r="98" spans="1:12" ht="24.75" customHeight="1" hidden="1">
      <c r="A98" s="82" t="s">
        <v>107</v>
      </c>
      <c r="B98" s="73"/>
      <c r="C98" s="73"/>
      <c r="D98" s="73" t="s">
        <v>65</v>
      </c>
      <c r="E98" s="74" t="s">
        <v>8</v>
      </c>
      <c r="F98" s="74" t="s">
        <v>9</v>
      </c>
      <c r="G98" s="74" t="s">
        <v>222</v>
      </c>
      <c r="H98" s="74" t="s">
        <v>108</v>
      </c>
      <c r="I98" s="140">
        <f>'[1]0203'!$D$15/1000</f>
        <v>13.4</v>
      </c>
      <c r="J98" s="140">
        <f>'[1]0203'!$D$15/1000</f>
        <v>13.4</v>
      </c>
      <c r="K98" s="140">
        <v>0</v>
      </c>
      <c r="L98" s="137">
        <f t="shared" si="13"/>
        <v>0</v>
      </c>
    </row>
    <row r="99" spans="1:12" ht="26.25" customHeight="1">
      <c r="A99" s="98" t="s">
        <v>228</v>
      </c>
      <c r="B99" s="73"/>
      <c r="C99" s="73"/>
      <c r="D99" s="73" t="s">
        <v>65</v>
      </c>
      <c r="E99" s="74" t="s">
        <v>8</v>
      </c>
      <c r="F99" s="74" t="s">
        <v>9</v>
      </c>
      <c r="G99" s="74" t="s">
        <v>222</v>
      </c>
      <c r="H99" s="74" t="s">
        <v>167</v>
      </c>
      <c r="I99" s="140">
        <f>I100</f>
        <v>16.7</v>
      </c>
      <c r="J99" s="140">
        <f>J100</f>
        <v>16.7</v>
      </c>
      <c r="K99" s="140">
        <f>K100</f>
        <v>4.80976</v>
      </c>
      <c r="L99" s="137">
        <f t="shared" si="13"/>
        <v>28.800958083832334</v>
      </c>
    </row>
    <row r="100" spans="1:12" ht="25.5" customHeight="1">
      <c r="A100" s="82" t="s">
        <v>109</v>
      </c>
      <c r="B100" s="73"/>
      <c r="C100" s="73"/>
      <c r="D100" s="73" t="s">
        <v>65</v>
      </c>
      <c r="E100" s="74" t="s">
        <v>8</v>
      </c>
      <c r="F100" s="74" t="s">
        <v>9</v>
      </c>
      <c r="G100" s="74" t="s">
        <v>222</v>
      </c>
      <c r="H100" s="74" t="s">
        <v>110</v>
      </c>
      <c r="I100" s="140">
        <f>'[1]0203'!$D$19/1000</f>
        <v>16.7</v>
      </c>
      <c r="J100" s="140">
        <f>'[1]0203'!$D$19/1000</f>
        <v>16.7</v>
      </c>
      <c r="K100" s="140">
        <f>4809.76/1000</f>
        <v>4.80976</v>
      </c>
      <c r="L100" s="137">
        <f t="shared" si="13"/>
        <v>28.800958083832334</v>
      </c>
    </row>
    <row r="101" spans="1:12" ht="18.75" customHeight="1">
      <c r="A101" s="86" t="s">
        <v>19</v>
      </c>
      <c r="B101" s="73"/>
      <c r="C101" s="73"/>
      <c r="D101" s="70" t="s">
        <v>65</v>
      </c>
      <c r="E101" s="67" t="s">
        <v>9</v>
      </c>
      <c r="F101" s="67"/>
      <c r="G101" s="67"/>
      <c r="H101" s="67"/>
      <c r="I101" s="138">
        <f>I102+I107</f>
        <v>350</v>
      </c>
      <c r="J101" s="138">
        <f>J102+J107</f>
        <v>350</v>
      </c>
      <c r="K101" s="138">
        <f>K102+K107</f>
        <v>100</v>
      </c>
      <c r="L101" s="137">
        <f t="shared" si="13"/>
        <v>28.57142857142857</v>
      </c>
    </row>
    <row r="102" spans="1:12" ht="26.25" customHeight="1">
      <c r="A102" s="86" t="s">
        <v>69</v>
      </c>
      <c r="B102" s="70"/>
      <c r="C102" s="70"/>
      <c r="D102" s="70" t="s">
        <v>65</v>
      </c>
      <c r="E102" s="71" t="s">
        <v>9</v>
      </c>
      <c r="F102" s="71" t="s">
        <v>20</v>
      </c>
      <c r="G102" s="71"/>
      <c r="H102" s="71"/>
      <c r="I102" s="139">
        <f>I103</f>
        <v>50</v>
      </c>
      <c r="J102" s="139">
        <f aca="true" t="shared" si="17" ref="J102:K105">J103</f>
        <v>50</v>
      </c>
      <c r="K102" s="139">
        <f t="shared" si="17"/>
        <v>0</v>
      </c>
      <c r="L102" s="137">
        <f t="shared" si="13"/>
        <v>0</v>
      </c>
    </row>
    <row r="103" spans="1:12" ht="23.25" customHeight="1">
      <c r="A103" s="104" t="s">
        <v>90</v>
      </c>
      <c r="B103" s="73"/>
      <c r="C103" s="73"/>
      <c r="D103" s="73" t="s">
        <v>65</v>
      </c>
      <c r="E103" s="74" t="s">
        <v>9</v>
      </c>
      <c r="F103" s="74" t="s">
        <v>20</v>
      </c>
      <c r="G103" s="74" t="s">
        <v>216</v>
      </c>
      <c r="H103" s="74"/>
      <c r="I103" s="140">
        <f>I104</f>
        <v>50</v>
      </c>
      <c r="J103" s="140">
        <f t="shared" si="17"/>
        <v>50</v>
      </c>
      <c r="K103" s="140">
        <f t="shared" si="17"/>
        <v>0</v>
      </c>
      <c r="L103" s="137">
        <f t="shared" si="13"/>
        <v>0</v>
      </c>
    </row>
    <row r="104" spans="1:12" ht="24.75" customHeight="1">
      <c r="A104" s="104" t="s">
        <v>68</v>
      </c>
      <c r="B104" s="73"/>
      <c r="C104" s="73"/>
      <c r="D104" s="73" t="s">
        <v>65</v>
      </c>
      <c r="E104" s="74" t="s">
        <v>9</v>
      </c>
      <c r="F104" s="74" t="s">
        <v>20</v>
      </c>
      <c r="G104" s="74" t="s">
        <v>217</v>
      </c>
      <c r="H104" s="74"/>
      <c r="I104" s="140">
        <f>I105</f>
        <v>50</v>
      </c>
      <c r="J104" s="140">
        <f t="shared" si="17"/>
        <v>50</v>
      </c>
      <c r="K104" s="140">
        <f t="shared" si="17"/>
        <v>0</v>
      </c>
      <c r="L104" s="137">
        <f t="shared" si="13"/>
        <v>0</v>
      </c>
    </row>
    <row r="105" spans="1:12" ht="24" customHeight="1">
      <c r="A105" s="98" t="s">
        <v>228</v>
      </c>
      <c r="B105" s="73"/>
      <c r="C105" s="73"/>
      <c r="D105" s="73" t="s">
        <v>65</v>
      </c>
      <c r="E105" s="74" t="s">
        <v>9</v>
      </c>
      <c r="F105" s="74" t="s">
        <v>20</v>
      </c>
      <c r="G105" s="74" t="s">
        <v>217</v>
      </c>
      <c r="H105" s="74" t="s">
        <v>167</v>
      </c>
      <c r="I105" s="140">
        <f>I106</f>
        <v>50</v>
      </c>
      <c r="J105" s="140">
        <f t="shared" si="17"/>
        <v>50</v>
      </c>
      <c r="K105" s="140">
        <f t="shared" si="17"/>
        <v>0</v>
      </c>
      <c r="L105" s="137">
        <f t="shared" si="13"/>
        <v>0</v>
      </c>
    </row>
    <row r="106" spans="1:12" ht="24.75" customHeight="1">
      <c r="A106" s="103" t="s">
        <v>109</v>
      </c>
      <c r="B106" s="73"/>
      <c r="C106" s="73"/>
      <c r="D106" s="73" t="s">
        <v>65</v>
      </c>
      <c r="E106" s="74" t="s">
        <v>9</v>
      </c>
      <c r="F106" s="74" t="s">
        <v>20</v>
      </c>
      <c r="G106" s="74" t="s">
        <v>217</v>
      </c>
      <c r="H106" s="74" t="s">
        <v>110</v>
      </c>
      <c r="I106" s="140">
        <f>'[1]0309'!$C$18/1000</f>
        <v>50</v>
      </c>
      <c r="J106" s="140">
        <f>'[1]0309'!$C$18/1000</f>
        <v>50</v>
      </c>
      <c r="K106" s="140">
        <v>0</v>
      </c>
      <c r="L106" s="137">
        <f t="shared" si="13"/>
        <v>0</v>
      </c>
    </row>
    <row r="107" spans="1:12" ht="17.25" customHeight="1">
      <c r="A107" s="86" t="s">
        <v>58</v>
      </c>
      <c r="B107" s="70"/>
      <c r="C107" s="70"/>
      <c r="D107" s="70" t="s">
        <v>65</v>
      </c>
      <c r="E107" s="71" t="s">
        <v>9</v>
      </c>
      <c r="F107" s="71" t="s">
        <v>48</v>
      </c>
      <c r="G107" s="71"/>
      <c r="H107" s="71"/>
      <c r="I107" s="139">
        <f>I108</f>
        <v>300</v>
      </c>
      <c r="J107" s="139">
        <f aca="true" t="shared" si="18" ref="J107:K110">J108</f>
        <v>300</v>
      </c>
      <c r="K107" s="139">
        <f t="shared" si="18"/>
        <v>100</v>
      </c>
      <c r="L107" s="137">
        <f t="shared" si="13"/>
        <v>33.33333333333333</v>
      </c>
    </row>
    <row r="108" spans="1:12" ht="24.75" customHeight="1">
      <c r="A108" s="106" t="s">
        <v>183</v>
      </c>
      <c r="B108" s="73"/>
      <c r="C108" s="73"/>
      <c r="D108" s="73" t="s">
        <v>65</v>
      </c>
      <c r="E108" s="74" t="s">
        <v>9</v>
      </c>
      <c r="F108" s="74" t="s">
        <v>48</v>
      </c>
      <c r="G108" s="74" t="s">
        <v>181</v>
      </c>
      <c r="H108" s="74"/>
      <c r="I108" s="140">
        <f>I109</f>
        <v>300</v>
      </c>
      <c r="J108" s="140">
        <f t="shared" si="18"/>
        <v>300</v>
      </c>
      <c r="K108" s="140">
        <f t="shared" si="18"/>
        <v>100</v>
      </c>
      <c r="L108" s="137">
        <f t="shared" si="13"/>
        <v>33.33333333333333</v>
      </c>
    </row>
    <row r="109" spans="1:12" ht="24" customHeight="1">
      <c r="A109" s="106" t="s">
        <v>91</v>
      </c>
      <c r="B109" s="73"/>
      <c r="C109" s="73"/>
      <c r="D109" s="73" t="s">
        <v>65</v>
      </c>
      <c r="E109" s="74" t="s">
        <v>9</v>
      </c>
      <c r="F109" s="74" t="s">
        <v>48</v>
      </c>
      <c r="G109" s="74" t="s">
        <v>182</v>
      </c>
      <c r="H109" s="74"/>
      <c r="I109" s="140">
        <f>I110</f>
        <v>300</v>
      </c>
      <c r="J109" s="140">
        <f t="shared" si="18"/>
        <v>300</v>
      </c>
      <c r="K109" s="140">
        <f t="shared" si="18"/>
        <v>100</v>
      </c>
      <c r="L109" s="137">
        <f t="shared" si="13"/>
        <v>33.33333333333333</v>
      </c>
    </row>
    <row r="110" spans="1:12" ht="23.25" customHeight="1">
      <c r="A110" s="98" t="s">
        <v>163</v>
      </c>
      <c r="B110" s="73"/>
      <c r="C110" s="73"/>
      <c r="D110" s="73" t="s">
        <v>65</v>
      </c>
      <c r="E110" s="74" t="s">
        <v>9</v>
      </c>
      <c r="F110" s="74" t="s">
        <v>48</v>
      </c>
      <c r="G110" s="74" t="s">
        <v>182</v>
      </c>
      <c r="H110" s="74" t="s">
        <v>167</v>
      </c>
      <c r="I110" s="140">
        <f>I111</f>
        <v>300</v>
      </c>
      <c r="J110" s="140">
        <f t="shared" si="18"/>
        <v>300</v>
      </c>
      <c r="K110" s="140">
        <f t="shared" si="18"/>
        <v>100</v>
      </c>
      <c r="L110" s="137">
        <f t="shared" si="13"/>
        <v>33.33333333333333</v>
      </c>
    </row>
    <row r="111" spans="1:12" ht="24.75" customHeight="1">
      <c r="A111" s="103" t="s">
        <v>109</v>
      </c>
      <c r="B111" s="73"/>
      <c r="C111" s="73"/>
      <c r="D111" s="73" t="s">
        <v>65</v>
      </c>
      <c r="E111" s="74" t="s">
        <v>9</v>
      </c>
      <c r="F111" s="74" t="s">
        <v>48</v>
      </c>
      <c r="G111" s="74" t="s">
        <v>182</v>
      </c>
      <c r="H111" s="74" t="s">
        <v>110</v>
      </c>
      <c r="I111" s="140">
        <f>50000/1000+78000/1000+100000/1000+22000/1000+50000/1000</f>
        <v>300</v>
      </c>
      <c r="J111" s="140">
        <f>50000/1000+78000/1000+100000/1000+22000/1000+50000/1000</f>
        <v>300</v>
      </c>
      <c r="K111" s="140">
        <f>100000/1000</f>
        <v>100</v>
      </c>
      <c r="L111" s="137">
        <f t="shared" si="13"/>
        <v>33.33333333333333</v>
      </c>
    </row>
    <row r="112" spans="1:12" ht="14.25" customHeight="1">
      <c r="A112" s="86" t="s">
        <v>21</v>
      </c>
      <c r="B112" s="77"/>
      <c r="C112" s="77"/>
      <c r="D112" s="68" t="s">
        <v>65</v>
      </c>
      <c r="E112" s="67" t="s">
        <v>11</v>
      </c>
      <c r="F112" s="67"/>
      <c r="G112" s="67"/>
      <c r="H112" s="67"/>
      <c r="I112" s="138">
        <f>I113+I126</f>
        <v>14121.659090000001</v>
      </c>
      <c r="J112" s="138">
        <f>J113+J126</f>
        <v>14121.659090000001</v>
      </c>
      <c r="K112" s="138">
        <f>K113+K126</f>
        <v>1131.0626100000002</v>
      </c>
      <c r="L112" s="137">
        <f t="shared" si="13"/>
        <v>8.009417326898522</v>
      </c>
    </row>
    <row r="113" spans="1:12" ht="16.5" customHeight="1">
      <c r="A113" s="86" t="s">
        <v>75</v>
      </c>
      <c r="B113" s="70"/>
      <c r="C113" s="70"/>
      <c r="D113" s="70" t="s">
        <v>65</v>
      </c>
      <c r="E113" s="71" t="s">
        <v>11</v>
      </c>
      <c r="F113" s="71" t="s">
        <v>20</v>
      </c>
      <c r="G113" s="71"/>
      <c r="H113" s="71"/>
      <c r="I113" s="139">
        <f>I114+I118+I124</f>
        <v>13884.26309</v>
      </c>
      <c r="J113" s="139">
        <f>J114+J118+J124</f>
        <v>13884.26309</v>
      </c>
      <c r="K113" s="139">
        <f>K114+K118+K124</f>
        <v>1131.0626100000002</v>
      </c>
      <c r="L113" s="137">
        <f t="shared" si="13"/>
        <v>8.146363999790788</v>
      </c>
    </row>
    <row r="114" spans="1:12" ht="24" customHeight="1">
      <c r="A114" s="88" t="s">
        <v>244</v>
      </c>
      <c r="B114" s="70"/>
      <c r="C114" s="70"/>
      <c r="D114" s="73" t="s">
        <v>65</v>
      </c>
      <c r="E114" s="74" t="s">
        <v>11</v>
      </c>
      <c r="F114" s="74" t="s">
        <v>20</v>
      </c>
      <c r="G114" s="74" t="s">
        <v>187</v>
      </c>
      <c r="H114" s="74"/>
      <c r="I114" s="140">
        <f>I115+I121</f>
        <v>4213.96309</v>
      </c>
      <c r="J114" s="140">
        <f>J115+J121</f>
        <v>4213.96309</v>
      </c>
      <c r="K114" s="140">
        <f>K115+K121</f>
        <v>1131.0626100000002</v>
      </c>
      <c r="L114" s="137">
        <f t="shared" si="13"/>
        <v>26.840828593968535</v>
      </c>
    </row>
    <row r="115" spans="1:12" ht="24.75" customHeight="1">
      <c r="A115" s="88" t="s">
        <v>243</v>
      </c>
      <c r="B115" s="70"/>
      <c r="C115" s="70"/>
      <c r="D115" s="73" t="s">
        <v>65</v>
      </c>
      <c r="E115" s="74" t="s">
        <v>11</v>
      </c>
      <c r="F115" s="74" t="s">
        <v>20</v>
      </c>
      <c r="G115" s="74" t="s">
        <v>188</v>
      </c>
      <c r="H115" s="71"/>
      <c r="I115" s="140">
        <f aca="true" t="shared" si="19" ref="I115:K116">I116</f>
        <v>3775.04547</v>
      </c>
      <c r="J115" s="140">
        <f t="shared" si="19"/>
        <v>3775.04547</v>
      </c>
      <c r="K115" s="140">
        <f t="shared" si="19"/>
        <v>1131.0626100000002</v>
      </c>
      <c r="L115" s="137">
        <f t="shared" si="13"/>
        <v>29.961562555695526</v>
      </c>
    </row>
    <row r="116" spans="1:12" ht="25.5" customHeight="1">
      <c r="A116" s="87" t="s">
        <v>186</v>
      </c>
      <c r="B116" s="70"/>
      <c r="C116" s="70"/>
      <c r="D116" s="73" t="s">
        <v>65</v>
      </c>
      <c r="E116" s="74" t="s">
        <v>11</v>
      </c>
      <c r="F116" s="74" t="s">
        <v>20</v>
      </c>
      <c r="G116" s="74" t="s">
        <v>188</v>
      </c>
      <c r="H116" s="74" t="s">
        <v>167</v>
      </c>
      <c r="I116" s="140">
        <f t="shared" si="19"/>
        <v>3775.04547</v>
      </c>
      <c r="J116" s="140">
        <f t="shared" si="19"/>
        <v>3775.04547</v>
      </c>
      <c r="K116" s="140">
        <f t="shared" si="19"/>
        <v>1131.0626100000002</v>
      </c>
      <c r="L116" s="137">
        <f t="shared" si="13"/>
        <v>29.961562555695526</v>
      </c>
    </row>
    <row r="117" spans="1:12" ht="27.75" customHeight="1">
      <c r="A117" s="87" t="s">
        <v>109</v>
      </c>
      <c r="B117" s="70"/>
      <c r="C117" s="70"/>
      <c r="D117" s="73" t="s">
        <v>65</v>
      </c>
      <c r="E117" s="74" t="s">
        <v>11</v>
      </c>
      <c r="F117" s="74" t="s">
        <v>20</v>
      </c>
      <c r="G117" s="74" t="s">
        <v>188</v>
      </c>
      <c r="H117" s="74" t="s">
        <v>110</v>
      </c>
      <c r="I117" s="140">
        <f>3115407.19/1000+659593.28/1000+45/1000</f>
        <v>3775.04547</v>
      </c>
      <c r="J117" s="140">
        <f>3115407.19/1000+659593.28/1000+45/1000</f>
        <v>3775.04547</v>
      </c>
      <c r="K117" s="140">
        <f>1131062.61/1000</f>
        <v>1131.0626100000002</v>
      </c>
      <c r="L117" s="137">
        <f t="shared" si="13"/>
        <v>29.961562555695526</v>
      </c>
    </row>
    <row r="118" spans="1:12" ht="41.25" customHeight="1">
      <c r="A118" s="82" t="s">
        <v>297</v>
      </c>
      <c r="B118" s="73"/>
      <c r="C118" s="73"/>
      <c r="D118" s="73" t="s">
        <v>65</v>
      </c>
      <c r="E118" s="74" t="s">
        <v>11</v>
      </c>
      <c r="F118" s="74" t="s">
        <v>20</v>
      </c>
      <c r="G118" s="76" t="s">
        <v>296</v>
      </c>
      <c r="H118" s="74"/>
      <c r="I118" s="140">
        <f aca="true" t="shared" si="20" ref="I118:K119">I119</f>
        <v>9670.3</v>
      </c>
      <c r="J118" s="140">
        <f t="shared" si="20"/>
        <v>9670.3</v>
      </c>
      <c r="K118" s="140">
        <f t="shared" si="20"/>
        <v>0</v>
      </c>
      <c r="L118" s="137">
        <f t="shared" si="13"/>
        <v>0</v>
      </c>
    </row>
    <row r="119" spans="1:12" ht="27" customHeight="1">
      <c r="A119" s="87" t="s">
        <v>186</v>
      </c>
      <c r="B119" s="73"/>
      <c r="C119" s="73"/>
      <c r="D119" s="73" t="s">
        <v>65</v>
      </c>
      <c r="E119" s="74" t="s">
        <v>11</v>
      </c>
      <c r="F119" s="74" t="s">
        <v>20</v>
      </c>
      <c r="G119" s="76" t="s">
        <v>296</v>
      </c>
      <c r="H119" s="74" t="s">
        <v>167</v>
      </c>
      <c r="I119" s="140">
        <f t="shared" si="20"/>
        <v>9670.3</v>
      </c>
      <c r="J119" s="140">
        <f t="shared" si="20"/>
        <v>9670.3</v>
      </c>
      <c r="K119" s="140">
        <f t="shared" si="20"/>
        <v>0</v>
      </c>
      <c r="L119" s="137">
        <f t="shared" si="13"/>
        <v>0</v>
      </c>
    </row>
    <row r="120" spans="1:12" ht="27.75" customHeight="1">
      <c r="A120" s="103" t="s">
        <v>109</v>
      </c>
      <c r="B120" s="73"/>
      <c r="C120" s="73"/>
      <c r="D120" s="73" t="s">
        <v>65</v>
      </c>
      <c r="E120" s="74" t="s">
        <v>11</v>
      </c>
      <c r="F120" s="74" t="s">
        <v>20</v>
      </c>
      <c r="G120" s="76" t="s">
        <v>296</v>
      </c>
      <c r="H120" s="74" t="s">
        <v>110</v>
      </c>
      <c r="I120" s="140">
        <f>9670300/1000</f>
        <v>9670.3</v>
      </c>
      <c r="J120" s="140">
        <f>9670300/1000</f>
        <v>9670.3</v>
      </c>
      <c r="K120" s="140">
        <v>0</v>
      </c>
      <c r="L120" s="137">
        <f t="shared" si="13"/>
        <v>0</v>
      </c>
    </row>
    <row r="121" spans="1:12" ht="37.5" customHeight="1">
      <c r="A121" s="88" t="s">
        <v>246</v>
      </c>
      <c r="B121" s="70"/>
      <c r="C121" s="70"/>
      <c r="D121" s="73" t="s">
        <v>65</v>
      </c>
      <c r="E121" s="74" t="s">
        <v>11</v>
      </c>
      <c r="F121" s="74" t="s">
        <v>20</v>
      </c>
      <c r="G121" s="74" t="s">
        <v>245</v>
      </c>
      <c r="H121" s="71"/>
      <c r="I121" s="140">
        <f aca="true" t="shared" si="21" ref="I121:K122">I122</f>
        <v>438.91762</v>
      </c>
      <c r="J121" s="140">
        <f t="shared" si="21"/>
        <v>438.91762</v>
      </c>
      <c r="K121" s="140">
        <f t="shared" si="21"/>
        <v>0</v>
      </c>
      <c r="L121" s="137">
        <f t="shared" si="13"/>
        <v>0</v>
      </c>
    </row>
    <row r="122" spans="1:12" ht="27.75" customHeight="1">
      <c r="A122" s="87" t="s">
        <v>186</v>
      </c>
      <c r="B122" s="70"/>
      <c r="C122" s="70"/>
      <c r="D122" s="73" t="s">
        <v>65</v>
      </c>
      <c r="E122" s="74" t="s">
        <v>11</v>
      </c>
      <c r="F122" s="74" t="s">
        <v>20</v>
      </c>
      <c r="G122" s="74" t="s">
        <v>245</v>
      </c>
      <c r="H122" s="74" t="s">
        <v>167</v>
      </c>
      <c r="I122" s="140">
        <f t="shared" si="21"/>
        <v>438.91762</v>
      </c>
      <c r="J122" s="140">
        <f t="shared" si="21"/>
        <v>438.91762</v>
      </c>
      <c r="K122" s="140">
        <f t="shared" si="21"/>
        <v>0</v>
      </c>
      <c r="L122" s="137">
        <f t="shared" si="13"/>
        <v>0</v>
      </c>
    </row>
    <row r="123" spans="1:12" ht="27.75" customHeight="1">
      <c r="A123" s="87" t="s">
        <v>109</v>
      </c>
      <c r="B123" s="70"/>
      <c r="C123" s="70"/>
      <c r="D123" s="73" t="s">
        <v>65</v>
      </c>
      <c r="E123" s="74" t="s">
        <v>11</v>
      </c>
      <c r="F123" s="74" t="s">
        <v>20</v>
      </c>
      <c r="G123" s="74" t="s">
        <v>245</v>
      </c>
      <c r="H123" s="74" t="s">
        <v>110</v>
      </c>
      <c r="I123" s="140">
        <f>297000/1000+91917.62/1000+50000/1000</f>
        <v>438.91762</v>
      </c>
      <c r="J123" s="140">
        <f>297000/1000+91917.62/1000+50000/1000</f>
        <v>438.91762</v>
      </c>
      <c r="K123" s="140">
        <v>0</v>
      </c>
      <c r="L123" s="137">
        <f t="shared" si="13"/>
        <v>0</v>
      </c>
    </row>
    <row r="124" spans="1:12" ht="27.75" customHeight="1" hidden="1">
      <c r="A124" s="87" t="s">
        <v>186</v>
      </c>
      <c r="B124" s="70"/>
      <c r="C124" s="70"/>
      <c r="D124" s="73" t="s">
        <v>65</v>
      </c>
      <c r="E124" s="74" t="s">
        <v>11</v>
      </c>
      <c r="F124" s="74" t="s">
        <v>20</v>
      </c>
      <c r="G124" s="74" t="s">
        <v>294</v>
      </c>
      <c r="H124" s="74" t="s">
        <v>167</v>
      </c>
      <c r="I124" s="140">
        <f>I125</f>
        <v>0</v>
      </c>
      <c r="J124" s="140">
        <f>J125</f>
        <v>0</v>
      </c>
      <c r="K124" s="140">
        <f>K125</f>
        <v>0</v>
      </c>
      <c r="L124" s="137" t="e">
        <f t="shared" si="13"/>
        <v>#DIV/0!</v>
      </c>
    </row>
    <row r="125" spans="1:12" ht="27.75" customHeight="1" hidden="1">
      <c r="A125" s="87" t="s">
        <v>109</v>
      </c>
      <c r="B125" s="70"/>
      <c r="C125" s="70"/>
      <c r="D125" s="73" t="s">
        <v>65</v>
      </c>
      <c r="E125" s="74" t="s">
        <v>11</v>
      </c>
      <c r="F125" s="74" t="s">
        <v>20</v>
      </c>
      <c r="G125" s="74" t="s">
        <v>294</v>
      </c>
      <c r="H125" s="74" t="s">
        <v>110</v>
      </c>
      <c r="I125" s="140"/>
      <c r="J125" s="140"/>
      <c r="K125" s="140"/>
      <c r="L125" s="137" t="e">
        <f t="shared" si="13"/>
        <v>#DIV/0!</v>
      </c>
    </row>
    <row r="126" spans="1:12" ht="22.5" customHeight="1">
      <c r="A126" s="84" t="s">
        <v>22</v>
      </c>
      <c r="B126" s="73"/>
      <c r="C126" s="73"/>
      <c r="D126" s="70" t="s">
        <v>65</v>
      </c>
      <c r="E126" s="71" t="s">
        <v>11</v>
      </c>
      <c r="F126" s="71" t="s">
        <v>45</v>
      </c>
      <c r="G126" s="71"/>
      <c r="H126" s="71"/>
      <c r="I126" s="139">
        <f>I127</f>
        <v>237.396</v>
      </c>
      <c r="J126" s="139">
        <f aca="true" t="shared" si="22" ref="J126:K129">J127</f>
        <v>237.396</v>
      </c>
      <c r="K126" s="139">
        <f t="shared" si="22"/>
        <v>0</v>
      </c>
      <c r="L126" s="137">
        <f t="shared" si="13"/>
        <v>0</v>
      </c>
    </row>
    <row r="127" spans="1:12" ht="13.5" customHeight="1">
      <c r="A127" s="82" t="s">
        <v>122</v>
      </c>
      <c r="B127" s="73"/>
      <c r="C127" s="73"/>
      <c r="D127" s="73" t="s">
        <v>65</v>
      </c>
      <c r="E127" s="74" t="s">
        <v>11</v>
      </c>
      <c r="F127" s="74" t="s">
        <v>45</v>
      </c>
      <c r="G127" s="74" t="s">
        <v>184</v>
      </c>
      <c r="H127" s="71"/>
      <c r="I127" s="140">
        <f>I128</f>
        <v>237.396</v>
      </c>
      <c r="J127" s="140">
        <f t="shared" si="22"/>
        <v>237.396</v>
      </c>
      <c r="K127" s="140">
        <f t="shared" si="22"/>
        <v>0</v>
      </c>
      <c r="L127" s="137">
        <f t="shared" si="13"/>
        <v>0</v>
      </c>
    </row>
    <row r="128" spans="1:12" ht="16.5" customHeight="1">
      <c r="A128" s="82" t="s">
        <v>67</v>
      </c>
      <c r="B128" s="73"/>
      <c r="C128" s="73"/>
      <c r="D128" s="73" t="s">
        <v>65</v>
      </c>
      <c r="E128" s="74" t="s">
        <v>11</v>
      </c>
      <c r="F128" s="74" t="s">
        <v>45</v>
      </c>
      <c r="G128" s="74" t="s">
        <v>185</v>
      </c>
      <c r="H128" s="71"/>
      <c r="I128" s="140">
        <f>I129</f>
        <v>237.396</v>
      </c>
      <c r="J128" s="140">
        <f t="shared" si="22"/>
        <v>237.396</v>
      </c>
      <c r="K128" s="140">
        <f t="shared" si="22"/>
        <v>0</v>
      </c>
      <c r="L128" s="137">
        <f t="shared" si="13"/>
        <v>0</v>
      </c>
    </row>
    <row r="129" spans="1:12" ht="24" customHeight="1">
      <c r="A129" s="98" t="s">
        <v>228</v>
      </c>
      <c r="B129" s="73"/>
      <c r="C129" s="73"/>
      <c r="D129" s="73" t="s">
        <v>65</v>
      </c>
      <c r="E129" s="74" t="s">
        <v>11</v>
      </c>
      <c r="F129" s="74" t="s">
        <v>45</v>
      </c>
      <c r="G129" s="74" t="s">
        <v>185</v>
      </c>
      <c r="H129" s="74" t="s">
        <v>167</v>
      </c>
      <c r="I129" s="140">
        <f>I130</f>
        <v>237.396</v>
      </c>
      <c r="J129" s="140">
        <f t="shared" si="22"/>
        <v>237.396</v>
      </c>
      <c r="K129" s="140">
        <f t="shared" si="22"/>
        <v>0</v>
      </c>
      <c r="L129" s="137">
        <f t="shared" si="13"/>
        <v>0</v>
      </c>
    </row>
    <row r="130" spans="1:12" ht="24.75" customHeight="1">
      <c r="A130" s="82" t="s">
        <v>109</v>
      </c>
      <c r="B130" s="73"/>
      <c r="C130" s="73"/>
      <c r="D130" s="73" t="s">
        <v>65</v>
      </c>
      <c r="E130" s="74" t="s">
        <v>11</v>
      </c>
      <c r="F130" s="74" t="s">
        <v>45</v>
      </c>
      <c r="G130" s="74" t="s">
        <v>185</v>
      </c>
      <c r="H130" s="74" t="s">
        <v>110</v>
      </c>
      <c r="I130" s="140">
        <f>237396/1000</f>
        <v>237.396</v>
      </c>
      <c r="J130" s="140">
        <f>237396/1000</f>
        <v>237.396</v>
      </c>
      <c r="K130" s="140">
        <v>0</v>
      </c>
      <c r="L130" s="137">
        <f t="shared" si="13"/>
        <v>0</v>
      </c>
    </row>
    <row r="131" spans="1:12" ht="18.75" customHeight="1" hidden="1">
      <c r="A131" s="82" t="s">
        <v>136</v>
      </c>
      <c r="B131" s="73"/>
      <c r="C131" s="73"/>
      <c r="D131" s="73" t="s">
        <v>65</v>
      </c>
      <c r="E131" s="74" t="s">
        <v>11</v>
      </c>
      <c r="F131" s="74" t="s">
        <v>45</v>
      </c>
      <c r="G131" s="74" t="s">
        <v>140</v>
      </c>
      <c r="H131" s="74"/>
      <c r="I131" s="140"/>
      <c r="J131" s="140"/>
      <c r="K131" s="140"/>
      <c r="L131" s="137" t="e">
        <f t="shared" si="13"/>
        <v>#DIV/0!</v>
      </c>
    </row>
    <row r="132" spans="1:12" ht="23.25" customHeight="1" hidden="1">
      <c r="A132" s="82" t="s">
        <v>109</v>
      </c>
      <c r="B132" s="73"/>
      <c r="C132" s="73"/>
      <c r="D132" s="73" t="s">
        <v>65</v>
      </c>
      <c r="E132" s="74" t="s">
        <v>11</v>
      </c>
      <c r="F132" s="74" t="s">
        <v>45</v>
      </c>
      <c r="G132" s="74" t="s">
        <v>141</v>
      </c>
      <c r="H132" s="74" t="s">
        <v>110</v>
      </c>
      <c r="I132" s="140">
        <f>I133</f>
        <v>0</v>
      </c>
      <c r="J132" s="140">
        <f>J133</f>
        <v>0</v>
      </c>
      <c r="K132" s="140">
        <f>K133</f>
        <v>0</v>
      </c>
      <c r="L132" s="137" t="e">
        <f t="shared" si="13"/>
        <v>#DIV/0!</v>
      </c>
    </row>
    <row r="133" spans="1:12" ht="27" customHeight="1" hidden="1">
      <c r="A133" s="82" t="s">
        <v>111</v>
      </c>
      <c r="B133" s="73"/>
      <c r="C133" s="73"/>
      <c r="D133" s="73" t="s">
        <v>65</v>
      </c>
      <c r="E133" s="74" t="s">
        <v>11</v>
      </c>
      <c r="F133" s="74" t="s">
        <v>45</v>
      </c>
      <c r="G133" s="74" t="s">
        <v>141</v>
      </c>
      <c r="H133" s="74" t="s">
        <v>112</v>
      </c>
      <c r="I133" s="140"/>
      <c r="J133" s="140"/>
      <c r="K133" s="140"/>
      <c r="L133" s="137" t="e">
        <f t="shared" si="13"/>
        <v>#DIV/0!</v>
      </c>
    </row>
    <row r="134" spans="1:12" ht="15.75" customHeight="1">
      <c r="A134" s="89" t="s">
        <v>23</v>
      </c>
      <c r="B134" s="73"/>
      <c r="C134" s="70" t="s">
        <v>81</v>
      </c>
      <c r="D134" s="70" t="s">
        <v>65</v>
      </c>
      <c r="E134" s="67" t="s">
        <v>24</v>
      </c>
      <c r="F134" s="67"/>
      <c r="G134" s="67"/>
      <c r="H134" s="67"/>
      <c r="I134" s="138">
        <f>I135+I149+I156</f>
        <v>12802.839409999999</v>
      </c>
      <c r="J134" s="138">
        <f>J135+J149+J156</f>
        <v>12802.839409999999</v>
      </c>
      <c r="K134" s="138">
        <f>K135+K149+K156</f>
        <v>3032.0553499999996</v>
      </c>
      <c r="L134" s="137">
        <f t="shared" si="13"/>
        <v>23.682678919113304</v>
      </c>
    </row>
    <row r="135" spans="1:12" ht="16.5" customHeight="1">
      <c r="A135" s="86" t="s">
        <v>47</v>
      </c>
      <c r="B135" s="70" t="s">
        <v>81</v>
      </c>
      <c r="C135" s="70" t="s">
        <v>81</v>
      </c>
      <c r="D135" s="70" t="s">
        <v>65</v>
      </c>
      <c r="E135" s="71" t="s">
        <v>24</v>
      </c>
      <c r="F135" s="71" t="s">
        <v>6</v>
      </c>
      <c r="G135" s="71"/>
      <c r="H135" s="71"/>
      <c r="I135" s="139">
        <f>I141</f>
        <v>4100.3004</v>
      </c>
      <c r="J135" s="139">
        <f>J141</f>
        <v>4100.3004</v>
      </c>
      <c r="K135" s="139">
        <f>K141</f>
        <v>2212.5112599999998</v>
      </c>
      <c r="L135" s="137">
        <f t="shared" si="13"/>
        <v>53.95973573058207</v>
      </c>
    </row>
    <row r="136" spans="1:12" ht="23.25" customHeight="1" hidden="1">
      <c r="A136" s="108" t="s">
        <v>162</v>
      </c>
      <c r="B136" s="70"/>
      <c r="C136" s="70"/>
      <c r="D136" s="73" t="s">
        <v>65</v>
      </c>
      <c r="E136" s="74" t="s">
        <v>24</v>
      </c>
      <c r="F136" s="74" t="s">
        <v>6</v>
      </c>
      <c r="G136" s="74" t="s">
        <v>189</v>
      </c>
      <c r="H136" s="71"/>
      <c r="I136" s="139"/>
      <c r="J136" s="139"/>
      <c r="K136" s="139"/>
      <c r="L136" s="137" t="e">
        <f t="shared" si="13"/>
        <v>#DIV/0!</v>
      </c>
    </row>
    <row r="137" spans="1:12" ht="26.25" customHeight="1" hidden="1">
      <c r="A137" s="88" t="s">
        <v>178</v>
      </c>
      <c r="B137" s="70"/>
      <c r="C137" s="70"/>
      <c r="D137" s="73" t="s">
        <v>65</v>
      </c>
      <c r="E137" s="74" t="s">
        <v>24</v>
      </c>
      <c r="F137" s="74" t="s">
        <v>6</v>
      </c>
      <c r="G137" s="74" t="s">
        <v>190</v>
      </c>
      <c r="H137" s="74"/>
      <c r="I137" s="139"/>
      <c r="J137" s="139"/>
      <c r="K137" s="139"/>
      <c r="L137" s="137" t="e">
        <f t="shared" si="13"/>
        <v>#DIV/0!</v>
      </c>
    </row>
    <row r="138" spans="1:12" ht="24.75" customHeight="1" hidden="1">
      <c r="A138" s="107" t="s">
        <v>163</v>
      </c>
      <c r="B138" s="70"/>
      <c r="C138" s="70"/>
      <c r="D138" s="73" t="s">
        <v>65</v>
      </c>
      <c r="E138" s="74" t="s">
        <v>24</v>
      </c>
      <c r="F138" s="74" t="s">
        <v>6</v>
      </c>
      <c r="G138" s="74" t="s">
        <v>190</v>
      </c>
      <c r="H138" s="74" t="s">
        <v>167</v>
      </c>
      <c r="I138" s="139"/>
      <c r="J138" s="139"/>
      <c r="K138" s="139"/>
      <c r="L138" s="137" t="e">
        <f t="shared" si="13"/>
        <v>#DIV/0!</v>
      </c>
    </row>
    <row r="139" spans="1:12" ht="24" customHeight="1" hidden="1">
      <c r="A139" s="107" t="s">
        <v>164</v>
      </c>
      <c r="B139" s="70"/>
      <c r="C139" s="70"/>
      <c r="D139" s="73" t="s">
        <v>65</v>
      </c>
      <c r="E139" s="74" t="s">
        <v>24</v>
      </c>
      <c r="F139" s="74" t="s">
        <v>6</v>
      </c>
      <c r="G139" s="74" t="s">
        <v>190</v>
      </c>
      <c r="H139" s="74" t="s">
        <v>110</v>
      </c>
      <c r="I139" s="139"/>
      <c r="J139" s="139"/>
      <c r="K139" s="139"/>
      <c r="L139" s="137" t="e">
        <f t="shared" si="13"/>
        <v>#DIV/0!</v>
      </c>
    </row>
    <row r="140" spans="1:12" ht="15" customHeight="1">
      <c r="A140" s="111" t="s">
        <v>250</v>
      </c>
      <c r="B140" s="70"/>
      <c r="C140" s="70"/>
      <c r="D140" s="73" t="s">
        <v>65</v>
      </c>
      <c r="E140" s="74" t="s">
        <v>24</v>
      </c>
      <c r="F140" s="74" t="s">
        <v>6</v>
      </c>
      <c r="G140" s="74" t="s">
        <v>249</v>
      </c>
      <c r="H140" s="74"/>
      <c r="I140" s="139">
        <f aca="true" t="shared" si="23" ref="I140:K141">I141</f>
        <v>4100.3004</v>
      </c>
      <c r="J140" s="139">
        <f t="shared" si="23"/>
        <v>4100.3004</v>
      </c>
      <c r="K140" s="139">
        <f t="shared" si="23"/>
        <v>2212.5112599999998</v>
      </c>
      <c r="L140" s="137">
        <f t="shared" si="13"/>
        <v>53.95973573058207</v>
      </c>
    </row>
    <row r="141" spans="1:12" ht="18" customHeight="1">
      <c r="A141" s="111" t="s">
        <v>93</v>
      </c>
      <c r="B141" s="70"/>
      <c r="C141" s="70"/>
      <c r="D141" s="73" t="s">
        <v>65</v>
      </c>
      <c r="E141" s="74" t="s">
        <v>24</v>
      </c>
      <c r="F141" s="74" t="s">
        <v>6</v>
      </c>
      <c r="G141" s="74" t="s">
        <v>191</v>
      </c>
      <c r="H141" s="74"/>
      <c r="I141" s="139">
        <f t="shared" si="23"/>
        <v>4100.3004</v>
      </c>
      <c r="J141" s="139">
        <f t="shared" si="23"/>
        <v>4100.3004</v>
      </c>
      <c r="K141" s="139">
        <f t="shared" si="23"/>
        <v>2212.5112599999998</v>
      </c>
      <c r="L141" s="137">
        <f t="shared" si="13"/>
        <v>53.95973573058207</v>
      </c>
    </row>
    <row r="142" spans="1:12" ht="17.25" customHeight="1">
      <c r="A142" s="111" t="s">
        <v>92</v>
      </c>
      <c r="B142" s="73" t="s">
        <v>81</v>
      </c>
      <c r="C142" s="73" t="s">
        <v>81</v>
      </c>
      <c r="D142" s="73" t="s">
        <v>65</v>
      </c>
      <c r="E142" s="74" t="s">
        <v>24</v>
      </c>
      <c r="F142" s="74" t="s">
        <v>6</v>
      </c>
      <c r="G142" s="74" t="s">
        <v>191</v>
      </c>
      <c r="H142" s="74"/>
      <c r="I142" s="140">
        <f>I143+I147</f>
        <v>4100.3004</v>
      </c>
      <c r="J142" s="140">
        <f>J143+J147</f>
        <v>4100.3004</v>
      </c>
      <c r="K142" s="140">
        <f>K143+K147</f>
        <v>2212.5112599999998</v>
      </c>
      <c r="L142" s="137">
        <f t="shared" si="13"/>
        <v>53.95973573058207</v>
      </c>
    </row>
    <row r="143" spans="1:12" ht="22.5" customHeight="1">
      <c r="A143" s="109" t="s">
        <v>228</v>
      </c>
      <c r="B143" s="73"/>
      <c r="C143" s="73" t="s">
        <v>81</v>
      </c>
      <c r="D143" s="73" t="s">
        <v>65</v>
      </c>
      <c r="E143" s="74" t="s">
        <v>24</v>
      </c>
      <c r="F143" s="74" t="s">
        <v>6</v>
      </c>
      <c r="G143" s="74" t="s">
        <v>191</v>
      </c>
      <c r="H143" s="74" t="s">
        <v>167</v>
      </c>
      <c r="I143" s="140">
        <f>I144</f>
        <v>4100.3004</v>
      </c>
      <c r="J143" s="140">
        <f>J144</f>
        <v>4100.3004</v>
      </c>
      <c r="K143" s="140">
        <f>K144</f>
        <v>2212.5112599999998</v>
      </c>
      <c r="L143" s="137">
        <f t="shared" si="13"/>
        <v>53.95973573058207</v>
      </c>
    </row>
    <row r="144" spans="1:12" ht="24" customHeight="1">
      <c r="A144" s="111" t="s">
        <v>109</v>
      </c>
      <c r="B144" s="73"/>
      <c r="C144" s="73"/>
      <c r="D144" s="73" t="s">
        <v>65</v>
      </c>
      <c r="E144" s="74" t="s">
        <v>24</v>
      </c>
      <c r="F144" s="74" t="s">
        <v>6</v>
      </c>
      <c r="G144" s="74" t="s">
        <v>191</v>
      </c>
      <c r="H144" s="74" t="s">
        <v>110</v>
      </c>
      <c r="I144" s="140">
        <f>4100300.4/1000</f>
        <v>4100.3004</v>
      </c>
      <c r="J144" s="140">
        <f>4100300.4/1000</f>
        <v>4100.3004</v>
      </c>
      <c r="K144" s="140">
        <f>2212511.26/1000</f>
        <v>2212.5112599999998</v>
      </c>
      <c r="L144" s="137">
        <f aca="true" t="shared" si="24" ref="L144:L207">K144/I144*100</f>
        <v>53.95973573058207</v>
      </c>
    </row>
    <row r="145" spans="1:12" ht="24.75" customHeight="1" hidden="1">
      <c r="A145" s="109" t="s">
        <v>192</v>
      </c>
      <c r="B145" s="73"/>
      <c r="C145" s="73"/>
      <c r="D145" s="73" t="s">
        <v>65</v>
      </c>
      <c r="E145" s="74" t="s">
        <v>24</v>
      </c>
      <c r="F145" s="74" t="s">
        <v>6</v>
      </c>
      <c r="G145" s="74" t="s">
        <v>191</v>
      </c>
      <c r="H145" s="74" t="s">
        <v>193</v>
      </c>
      <c r="I145" s="140"/>
      <c r="J145" s="140"/>
      <c r="K145" s="140"/>
      <c r="L145" s="137" t="e">
        <f t="shared" si="24"/>
        <v>#DIV/0!</v>
      </c>
    </row>
    <row r="146" spans="1:12" ht="24.75" customHeight="1" hidden="1">
      <c r="A146" s="110" t="s">
        <v>229</v>
      </c>
      <c r="B146" s="73"/>
      <c r="C146" s="73"/>
      <c r="D146" s="73" t="s">
        <v>65</v>
      </c>
      <c r="E146" s="74" t="s">
        <v>24</v>
      </c>
      <c r="F146" s="74" t="s">
        <v>6</v>
      </c>
      <c r="G146" s="74" t="s">
        <v>191</v>
      </c>
      <c r="H146" s="74" t="s">
        <v>112</v>
      </c>
      <c r="I146" s="140"/>
      <c r="J146" s="140"/>
      <c r="K146" s="140"/>
      <c r="L146" s="137" t="e">
        <f t="shared" si="24"/>
        <v>#DIV/0!</v>
      </c>
    </row>
    <row r="147" spans="1:12" ht="24.75" customHeight="1" hidden="1">
      <c r="A147" s="110" t="s">
        <v>219</v>
      </c>
      <c r="B147" s="73"/>
      <c r="C147" s="73"/>
      <c r="D147" s="73" t="s">
        <v>65</v>
      </c>
      <c r="E147" s="74" t="s">
        <v>24</v>
      </c>
      <c r="F147" s="74" t="s">
        <v>6</v>
      </c>
      <c r="G147" s="74" t="s">
        <v>191</v>
      </c>
      <c r="H147" s="74" t="s">
        <v>146</v>
      </c>
      <c r="I147" s="140">
        <f>I148</f>
        <v>0</v>
      </c>
      <c r="J147" s="140">
        <f>J148</f>
        <v>0</v>
      </c>
      <c r="K147" s="140">
        <f>K148</f>
        <v>0</v>
      </c>
      <c r="L147" s="137" t="e">
        <f t="shared" si="24"/>
        <v>#DIV/0!</v>
      </c>
    </row>
    <row r="148" spans="1:12" ht="24.75" customHeight="1" hidden="1">
      <c r="A148" s="110" t="s">
        <v>145</v>
      </c>
      <c r="B148" s="73"/>
      <c r="C148" s="73"/>
      <c r="D148" s="73" t="s">
        <v>65</v>
      </c>
      <c r="E148" s="74" t="s">
        <v>24</v>
      </c>
      <c r="F148" s="74" t="s">
        <v>6</v>
      </c>
      <c r="G148" s="74" t="s">
        <v>191</v>
      </c>
      <c r="H148" s="74" t="s">
        <v>147</v>
      </c>
      <c r="I148" s="140"/>
      <c r="J148" s="140"/>
      <c r="K148" s="140"/>
      <c r="L148" s="137" t="e">
        <f t="shared" si="24"/>
        <v>#DIV/0!</v>
      </c>
    </row>
    <row r="149" spans="1:12" ht="18.75" customHeight="1">
      <c r="A149" s="86" t="s">
        <v>25</v>
      </c>
      <c r="B149" s="70" t="s">
        <v>81</v>
      </c>
      <c r="C149" s="70" t="s">
        <v>81</v>
      </c>
      <c r="D149" s="70" t="s">
        <v>65</v>
      </c>
      <c r="E149" s="71" t="s">
        <v>24</v>
      </c>
      <c r="F149" s="71" t="s">
        <v>8</v>
      </c>
      <c r="G149" s="71"/>
      <c r="H149" s="71"/>
      <c r="I149" s="139">
        <f>I150+I154</f>
        <v>389.9</v>
      </c>
      <c r="J149" s="139">
        <f>J150+J154</f>
        <v>389.9</v>
      </c>
      <c r="K149" s="139">
        <f>K150+K154</f>
        <v>118.12164</v>
      </c>
      <c r="L149" s="137">
        <f t="shared" si="24"/>
        <v>30.295368043087972</v>
      </c>
    </row>
    <row r="150" spans="1:12" ht="15" customHeight="1">
      <c r="A150" s="82" t="s">
        <v>123</v>
      </c>
      <c r="B150" s="70"/>
      <c r="C150" s="73" t="s">
        <v>81</v>
      </c>
      <c r="D150" s="73" t="s">
        <v>65</v>
      </c>
      <c r="E150" s="74" t="s">
        <v>24</v>
      </c>
      <c r="F150" s="74" t="s">
        <v>8</v>
      </c>
      <c r="G150" s="74" t="s">
        <v>194</v>
      </c>
      <c r="H150" s="74"/>
      <c r="I150" s="140">
        <f>I151</f>
        <v>389.9</v>
      </c>
      <c r="J150" s="140">
        <f aca="true" t="shared" si="25" ref="J150:K152">J151</f>
        <v>389.9</v>
      </c>
      <c r="K150" s="140">
        <f t="shared" si="25"/>
        <v>118.12164</v>
      </c>
      <c r="L150" s="137">
        <f t="shared" si="24"/>
        <v>30.295368043087972</v>
      </c>
    </row>
    <row r="151" spans="1:12" ht="16.5" customHeight="1">
      <c r="A151" s="82" t="s">
        <v>94</v>
      </c>
      <c r="B151" s="70"/>
      <c r="C151" s="73" t="s">
        <v>81</v>
      </c>
      <c r="D151" s="73" t="s">
        <v>65</v>
      </c>
      <c r="E151" s="74" t="s">
        <v>24</v>
      </c>
      <c r="F151" s="74" t="s">
        <v>8</v>
      </c>
      <c r="G151" s="74" t="s">
        <v>195</v>
      </c>
      <c r="H151" s="74"/>
      <c r="I151" s="140">
        <f>I152</f>
        <v>389.9</v>
      </c>
      <c r="J151" s="140">
        <f t="shared" si="25"/>
        <v>389.9</v>
      </c>
      <c r="K151" s="140">
        <f t="shared" si="25"/>
        <v>118.12164</v>
      </c>
      <c r="L151" s="137">
        <f t="shared" si="24"/>
        <v>30.295368043087972</v>
      </c>
    </row>
    <row r="152" spans="1:12" ht="22.5">
      <c r="A152" s="109" t="s">
        <v>228</v>
      </c>
      <c r="B152" s="70"/>
      <c r="C152" s="73" t="s">
        <v>81</v>
      </c>
      <c r="D152" s="73" t="s">
        <v>65</v>
      </c>
      <c r="E152" s="74" t="s">
        <v>24</v>
      </c>
      <c r="F152" s="74" t="s">
        <v>8</v>
      </c>
      <c r="G152" s="74" t="s">
        <v>195</v>
      </c>
      <c r="H152" s="74" t="s">
        <v>167</v>
      </c>
      <c r="I152" s="140">
        <f>I153</f>
        <v>389.9</v>
      </c>
      <c r="J152" s="140">
        <f t="shared" si="25"/>
        <v>389.9</v>
      </c>
      <c r="K152" s="140">
        <f t="shared" si="25"/>
        <v>118.12164</v>
      </c>
      <c r="L152" s="137">
        <f t="shared" si="24"/>
        <v>30.295368043087972</v>
      </c>
    </row>
    <row r="153" spans="1:12" ht="26.25" customHeight="1">
      <c r="A153" s="82" t="s">
        <v>109</v>
      </c>
      <c r="B153" s="70"/>
      <c r="C153" s="73"/>
      <c r="D153" s="73" t="s">
        <v>65</v>
      </c>
      <c r="E153" s="74" t="s">
        <v>24</v>
      </c>
      <c r="F153" s="74" t="s">
        <v>8</v>
      </c>
      <c r="G153" s="74" t="s">
        <v>195</v>
      </c>
      <c r="H153" s="74" t="s">
        <v>110</v>
      </c>
      <c r="I153" s="140">
        <f>389900/1000</f>
        <v>389.9</v>
      </c>
      <c r="J153" s="140">
        <f>389900/1000</f>
        <v>389.9</v>
      </c>
      <c r="K153" s="140">
        <f>118121.64/1000</f>
        <v>118.12164</v>
      </c>
      <c r="L153" s="137">
        <f t="shared" si="24"/>
        <v>30.295368043087972</v>
      </c>
    </row>
    <row r="154" spans="1:12" ht="26.25" customHeight="1" hidden="1">
      <c r="A154" s="110" t="s">
        <v>219</v>
      </c>
      <c r="B154" s="70"/>
      <c r="C154" s="73"/>
      <c r="D154" s="73" t="s">
        <v>65</v>
      </c>
      <c r="E154" s="74" t="s">
        <v>24</v>
      </c>
      <c r="F154" s="74" t="s">
        <v>8</v>
      </c>
      <c r="G154" s="74" t="s">
        <v>195</v>
      </c>
      <c r="H154" s="74" t="s">
        <v>146</v>
      </c>
      <c r="I154" s="140">
        <f>I155</f>
        <v>0</v>
      </c>
      <c r="J154" s="140">
        <f>J155</f>
        <v>0</v>
      </c>
      <c r="K154" s="140">
        <f>K155</f>
        <v>0</v>
      </c>
      <c r="L154" s="137" t="e">
        <f t="shared" si="24"/>
        <v>#DIV/0!</v>
      </c>
    </row>
    <row r="155" spans="1:12" ht="26.25" customHeight="1" hidden="1">
      <c r="A155" s="110" t="s">
        <v>227</v>
      </c>
      <c r="B155" s="70"/>
      <c r="C155" s="73"/>
      <c r="D155" s="73" t="s">
        <v>65</v>
      </c>
      <c r="E155" s="74" t="s">
        <v>24</v>
      </c>
      <c r="F155" s="74" t="s">
        <v>8</v>
      </c>
      <c r="G155" s="74" t="s">
        <v>195</v>
      </c>
      <c r="H155" s="74" t="s">
        <v>226</v>
      </c>
      <c r="I155" s="140"/>
      <c r="J155" s="140"/>
      <c r="K155" s="140"/>
      <c r="L155" s="137" t="e">
        <f t="shared" si="24"/>
        <v>#DIV/0!</v>
      </c>
    </row>
    <row r="156" spans="1:12" ht="18" customHeight="1">
      <c r="A156" s="86" t="s">
        <v>54</v>
      </c>
      <c r="B156" s="71" t="s">
        <v>81</v>
      </c>
      <c r="C156" s="71" t="s">
        <v>81</v>
      </c>
      <c r="D156" s="71" t="s">
        <v>65</v>
      </c>
      <c r="E156" s="71" t="s">
        <v>24</v>
      </c>
      <c r="F156" s="71" t="s">
        <v>9</v>
      </c>
      <c r="G156" s="71"/>
      <c r="H156" s="71"/>
      <c r="I156" s="141">
        <f>I157+I161+I169+I177+I181</f>
        <v>8312.639009999999</v>
      </c>
      <c r="J156" s="141">
        <f>J157+J161+J169+J177+J181</f>
        <v>8312.639009999999</v>
      </c>
      <c r="K156" s="141">
        <f>K157+K161+K169+K177+K181</f>
        <v>701.42245</v>
      </c>
      <c r="L156" s="137">
        <f t="shared" si="24"/>
        <v>8.438023702896249</v>
      </c>
    </row>
    <row r="157" spans="1:12" ht="36.75" customHeight="1">
      <c r="A157" s="87" t="s">
        <v>289</v>
      </c>
      <c r="B157" s="71"/>
      <c r="C157" s="71"/>
      <c r="D157" s="74" t="s">
        <v>65</v>
      </c>
      <c r="E157" s="74" t="s">
        <v>24</v>
      </c>
      <c r="F157" s="74" t="s">
        <v>9</v>
      </c>
      <c r="G157" s="74" t="s">
        <v>165</v>
      </c>
      <c r="H157" s="71"/>
      <c r="I157" s="141">
        <f>I158</f>
        <v>350</v>
      </c>
      <c r="J157" s="141">
        <f aca="true" t="shared" si="26" ref="J157:K159">J158</f>
        <v>350</v>
      </c>
      <c r="K157" s="141">
        <f t="shared" si="26"/>
        <v>50.426</v>
      </c>
      <c r="L157" s="137">
        <f t="shared" si="24"/>
        <v>14.407428571428571</v>
      </c>
    </row>
    <row r="158" spans="1:12" ht="26.25" customHeight="1">
      <c r="A158" s="102" t="s">
        <v>178</v>
      </c>
      <c r="B158" s="70"/>
      <c r="C158" s="70"/>
      <c r="D158" s="73" t="s">
        <v>65</v>
      </c>
      <c r="E158" s="74" t="s">
        <v>24</v>
      </c>
      <c r="F158" s="74" t="s">
        <v>9</v>
      </c>
      <c r="G158" s="74" t="s">
        <v>168</v>
      </c>
      <c r="H158" s="74"/>
      <c r="I158" s="140">
        <f>I159</f>
        <v>350</v>
      </c>
      <c r="J158" s="140">
        <f t="shared" si="26"/>
        <v>350</v>
      </c>
      <c r="K158" s="140">
        <f t="shared" si="26"/>
        <v>50.426</v>
      </c>
      <c r="L158" s="137">
        <f t="shared" si="24"/>
        <v>14.407428571428571</v>
      </c>
    </row>
    <row r="159" spans="1:12" ht="24.75" customHeight="1">
      <c r="A159" s="98" t="s">
        <v>228</v>
      </c>
      <c r="B159" s="70"/>
      <c r="C159" s="70"/>
      <c r="D159" s="73" t="s">
        <v>65</v>
      </c>
      <c r="E159" s="74" t="s">
        <v>24</v>
      </c>
      <c r="F159" s="74" t="s">
        <v>9</v>
      </c>
      <c r="G159" s="74" t="s">
        <v>168</v>
      </c>
      <c r="H159" s="74" t="s">
        <v>167</v>
      </c>
      <c r="I159" s="140">
        <f>I160</f>
        <v>350</v>
      </c>
      <c r="J159" s="140">
        <f t="shared" si="26"/>
        <v>350</v>
      </c>
      <c r="K159" s="140">
        <f t="shared" si="26"/>
        <v>50.426</v>
      </c>
      <c r="L159" s="137">
        <f t="shared" si="24"/>
        <v>14.407428571428571</v>
      </c>
    </row>
    <row r="160" spans="1:12" ht="25.5" customHeight="1">
      <c r="A160" s="82" t="s">
        <v>109</v>
      </c>
      <c r="B160" s="70"/>
      <c r="C160" s="70"/>
      <c r="D160" s="73" t="s">
        <v>65</v>
      </c>
      <c r="E160" s="74" t="s">
        <v>24</v>
      </c>
      <c r="F160" s="74" t="s">
        <v>9</v>
      </c>
      <c r="G160" s="74" t="s">
        <v>168</v>
      </c>
      <c r="H160" s="74" t="s">
        <v>110</v>
      </c>
      <c r="I160" s="140">
        <f>350000/1000</f>
        <v>350</v>
      </c>
      <c r="J160" s="140">
        <f>350000/1000</f>
        <v>350</v>
      </c>
      <c r="K160" s="140">
        <f>50426/1000</f>
        <v>50.426</v>
      </c>
      <c r="L160" s="137">
        <f t="shared" si="24"/>
        <v>14.407428571428571</v>
      </c>
    </row>
    <row r="161" spans="1:12" ht="48.75" customHeight="1">
      <c r="A161" s="113" t="s">
        <v>288</v>
      </c>
      <c r="B161" s="114"/>
      <c r="C161" s="114"/>
      <c r="D161" s="115" t="s">
        <v>65</v>
      </c>
      <c r="E161" s="115" t="s">
        <v>24</v>
      </c>
      <c r="F161" s="115" t="s">
        <v>9</v>
      </c>
      <c r="G161" s="115" t="s">
        <v>286</v>
      </c>
      <c r="H161" s="114"/>
      <c r="I161" s="140">
        <f>I162+I165+I168</f>
        <v>3495.7969999999996</v>
      </c>
      <c r="J161" s="140">
        <f>J162+J165+J168</f>
        <v>3495.7969999999996</v>
      </c>
      <c r="K161" s="140">
        <f>K162+K165+K168</f>
        <v>30</v>
      </c>
      <c r="L161" s="137">
        <f t="shared" si="24"/>
        <v>0.8581734008010192</v>
      </c>
    </row>
    <row r="162" spans="1:12" ht="33.75" customHeight="1" hidden="1">
      <c r="A162" s="116" t="s">
        <v>228</v>
      </c>
      <c r="B162" s="117"/>
      <c r="C162" s="117"/>
      <c r="D162" s="118" t="s">
        <v>65</v>
      </c>
      <c r="E162" s="115" t="s">
        <v>24</v>
      </c>
      <c r="F162" s="115" t="s">
        <v>9</v>
      </c>
      <c r="G162" s="115" t="s">
        <v>270</v>
      </c>
      <c r="H162" s="115" t="s">
        <v>167</v>
      </c>
      <c r="I162" s="140">
        <f>I163</f>
        <v>0</v>
      </c>
      <c r="J162" s="140">
        <f>J163</f>
        <v>0</v>
      </c>
      <c r="K162" s="140">
        <f>K163</f>
        <v>0</v>
      </c>
      <c r="L162" s="137" t="e">
        <f t="shared" si="24"/>
        <v>#DIV/0!</v>
      </c>
    </row>
    <row r="163" spans="1:12" ht="27" customHeight="1" hidden="1">
      <c r="A163" s="119" t="s">
        <v>109</v>
      </c>
      <c r="B163" s="117"/>
      <c r="C163" s="117"/>
      <c r="D163" s="118" t="s">
        <v>65</v>
      </c>
      <c r="E163" s="115" t="s">
        <v>24</v>
      </c>
      <c r="F163" s="115" t="s">
        <v>9</v>
      </c>
      <c r="G163" s="115" t="s">
        <v>270</v>
      </c>
      <c r="H163" s="115" t="s">
        <v>110</v>
      </c>
      <c r="I163" s="140"/>
      <c r="J163" s="140"/>
      <c r="K163" s="140"/>
      <c r="L163" s="137" t="e">
        <f t="shared" si="24"/>
        <v>#DIV/0!</v>
      </c>
    </row>
    <row r="164" spans="1:12" ht="37.5" customHeight="1">
      <c r="A164" s="113" t="s">
        <v>288</v>
      </c>
      <c r="B164" s="114"/>
      <c r="C164" s="114"/>
      <c r="D164" s="115" t="s">
        <v>65</v>
      </c>
      <c r="E164" s="115" t="s">
        <v>24</v>
      </c>
      <c r="F164" s="115" t="s">
        <v>9</v>
      </c>
      <c r="G164" s="115" t="s">
        <v>285</v>
      </c>
      <c r="H164" s="114"/>
      <c r="I164" s="140">
        <f aca="true" t="shared" si="27" ref="I164:K165">I165</f>
        <v>2835.9830799999995</v>
      </c>
      <c r="J164" s="140">
        <f t="shared" si="27"/>
        <v>2835.9830799999995</v>
      </c>
      <c r="K164" s="140">
        <f t="shared" si="27"/>
        <v>0</v>
      </c>
      <c r="L164" s="137">
        <f t="shared" si="24"/>
        <v>0</v>
      </c>
    </row>
    <row r="165" spans="1:12" ht="30.75" customHeight="1">
      <c r="A165" s="116" t="s">
        <v>228</v>
      </c>
      <c r="B165" s="117"/>
      <c r="C165" s="117"/>
      <c r="D165" s="118" t="s">
        <v>65</v>
      </c>
      <c r="E165" s="115" t="s">
        <v>24</v>
      </c>
      <c r="F165" s="115" t="s">
        <v>9</v>
      </c>
      <c r="G165" s="115" t="s">
        <v>285</v>
      </c>
      <c r="H165" s="115" t="s">
        <v>167</v>
      </c>
      <c r="I165" s="140">
        <f t="shared" si="27"/>
        <v>2835.9830799999995</v>
      </c>
      <c r="J165" s="140">
        <f t="shared" si="27"/>
        <v>2835.9830799999995</v>
      </c>
      <c r="K165" s="140">
        <f t="shared" si="27"/>
        <v>0</v>
      </c>
      <c r="L165" s="137">
        <f t="shared" si="24"/>
        <v>0</v>
      </c>
    </row>
    <row r="166" spans="1:12" ht="27.75" customHeight="1">
      <c r="A166" s="119" t="s">
        <v>109</v>
      </c>
      <c r="B166" s="117"/>
      <c r="C166" s="117"/>
      <c r="D166" s="118" t="s">
        <v>65</v>
      </c>
      <c r="E166" s="115" t="s">
        <v>24</v>
      </c>
      <c r="F166" s="115" t="s">
        <v>9</v>
      </c>
      <c r="G166" s="115" t="s">
        <v>285</v>
      </c>
      <c r="H166" s="115" t="s">
        <v>110</v>
      </c>
      <c r="I166" s="140">
        <f>2780375.57/1000+55607.51/1000</f>
        <v>2835.9830799999995</v>
      </c>
      <c r="J166" s="140">
        <f>2780375.57/1000+55607.51/1000</f>
        <v>2835.9830799999995</v>
      </c>
      <c r="K166" s="140">
        <v>0</v>
      </c>
      <c r="L166" s="137">
        <f t="shared" si="24"/>
        <v>0</v>
      </c>
    </row>
    <row r="167" spans="1:12" ht="24.75" customHeight="1">
      <c r="A167" s="116" t="s">
        <v>228</v>
      </c>
      <c r="B167" s="117"/>
      <c r="C167" s="117"/>
      <c r="D167" s="118" t="s">
        <v>65</v>
      </c>
      <c r="E167" s="115" t="s">
        <v>24</v>
      </c>
      <c r="F167" s="115" t="s">
        <v>9</v>
      </c>
      <c r="G167" s="115" t="s">
        <v>251</v>
      </c>
      <c r="H167" s="115" t="s">
        <v>167</v>
      </c>
      <c r="I167" s="140">
        <f>I168</f>
        <v>659.81392</v>
      </c>
      <c r="J167" s="140">
        <f>J168</f>
        <v>659.81392</v>
      </c>
      <c r="K167" s="140">
        <f>K168</f>
        <v>30</v>
      </c>
      <c r="L167" s="137">
        <f t="shared" si="24"/>
        <v>4.54673644957354</v>
      </c>
    </row>
    <row r="168" spans="1:12" ht="25.5" customHeight="1">
      <c r="A168" s="119" t="s">
        <v>109</v>
      </c>
      <c r="B168" s="117"/>
      <c r="C168" s="117"/>
      <c r="D168" s="118" t="s">
        <v>65</v>
      </c>
      <c r="E168" s="115" t="s">
        <v>24</v>
      </c>
      <c r="F168" s="115" t="s">
        <v>9</v>
      </c>
      <c r="G168" s="115" t="s">
        <v>251</v>
      </c>
      <c r="H168" s="115" t="s">
        <v>110</v>
      </c>
      <c r="I168" s="140">
        <f>659813.92/1000</f>
        <v>659.81392</v>
      </c>
      <c r="J168" s="140">
        <f>659813.92/1000</f>
        <v>659.81392</v>
      </c>
      <c r="K168" s="140">
        <v>30</v>
      </c>
      <c r="L168" s="137">
        <f t="shared" si="24"/>
        <v>4.54673644957354</v>
      </c>
    </row>
    <row r="169" spans="1:12" ht="36" customHeight="1">
      <c r="A169" s="113" t="s">
        <v>287</v>
      </c>
      <c r="B169" s="114"/>
      <c r="C169" s="114"/>
      <c r="D169" s="115" t="s">
        <v>65</v>
      </c>
      <c r="E169" s="115" t="s">
        <v>24</v>
      </c>
      <c r="F169" s="115" t="s">
        <v>9</v>
      </c>
      <c r="G169" s="115" t="s">
        <v>273</v>
      </c>
      <c r="H169" s="114"/>
      <c r="I169" s="140">
        <f>I170+I172</f>
        <v>55.607510000000005</v>
      </c>
      <c r="J169" s="140">
        <f>J170+J172</f>
        <v>55.607510000000005</v>
      </c>
      <c r="K169" s="140">
        <f>K170+K172</f>
        <v>0</v>
      </c>
      <c r="L169" s="137">
        <f t="shared" si="24"/>
        <v>0</v>
      </c>
    </row>
    <row r="170" spans="1:12" ht="19.5" customHeight="1">
      <c r="A170" s="116" t="s">
        <v>40</v>
      </c>
      <c r="B170" s="117"/>
      <c r="C170" s="117"/>
      <c r="D170" s="118" t="s">
        <v>65</v>
      </c>
      <c r="E170" s="115" t="s">
        <v>24</v>
      </c>
      <c r="F170" s="115" t="s">
        <v>9</v>
      </c>
      <c r="G170" s="115" t="s">
        <v>284</v>
      </c>
      <c r="H170" s="115" t="s">
        <v>173</v>
      </c>
      <c r="I170" s="140">
        <f>I171</f>
        <v>55.607510000000005</v>
      </c>
      <c r="J170" s="140">
        <f>J171</f>
        <v>55.607510000000005</v>
      </c>
      <c r="K170" s="140">
        <f>K171</f>
        <v>0</v>
      </c>
      <c r="L170" s="137">
        <f t="shared" si="24"/>
        <v>0</v>
      </c>
    </row>
    <row r="171" spans="1:12" ht="18.75" customHeight="1">
      <c r="A171" s="119" t="s">
        <v>225</v>
      </c>
      <c r="B171" s="117"/>
      <c r="C171" s="117"/>
      <c r="D171" s="118" t="s">
        <v>65</v>
      </c>
      <c r="E171" s="115" t="s">
        <v>24</v>
      </c>
      <c r="F171" s="115" t="s">
        <v>9</v>
      </c>
      <c r="G171" s="115" t="s">
        <v>284</v>
      </c>
      <c r="H171" s="115" t="s">
        <v>224</v>
      </c>
      <c r="I171" s="140">
        <f>55607.51/1000</f>
        <v>55.607510000000005</v>
      </c>
      <c r="J171" s="140">
        <f>55607.51/1000</f>
        <v>55.607510000000005</v>
      </c>
      <c r="K171" s="140">
        <v>0</v>
      </c>
      <c r="L171" s="137">
        <f t="shared" si="24"/>
        <v>0</v>
      </c>
    </row>
    <row r="172" spans="1:12" ht="25.5" customHeight="1" hidden="1">
      <c r="A172" s="113" t="s">
        <v>272</v>
      </c>
      <c r="B172" s="114"/>
      <c r="C172" s="114"/>
      <c r="D172" s="115" t="s">
        <v>65</v>
      </c>
      <c r="E172" s="115" t="s">
        <v>24</v>
      </c>
      <c r="F172" s="115" t="s">
        <v>9</v>
      </c>
      <c r="G172" s="115" t="s">
        <v>284</v>
      </c>
      <c r="H172" s="114"/>
      <c r="I172" s="140">
        <f aca="true" t="shared" si="28" ref="I172:K173">I173</f>
        <v>0</v>
      </c>
      <c r="J172" s="140">
        <f t="shared" si="28"/>
        <v>0</v>
      </c>
      <c r="K172" s="140">
        <f t="shared" si="28"/>
        <v>0</v>
      </c>
      <c r="L172" s="137" t="e">
        <f t="shared" si="24"/>
        <v>#DIV/0!</v>
      </c>
    </row>
    <row r="173" spans="1:12" ht="25.5" customHeight="1" hidden="1">
      <c r="A173" s="116" t="s">
        <v>40</v>
      </c>
      <c r="B173" s="117"/>
      <c r="C173" s="117"/>
      <c r="D173" s="118" t="s">
        <v>65</v>
      </c>
      <c r="E173" s="115" t="s">
        <v>24</v>
      </c>
      <c r="F173" s="115" t="s">
        <v>9</v>
      </c>
      <c r="G173" s="115" t="s">
        <v>274</v>
      </c>
      <c r="H173" s="115" t="s">
        <v>173</v>
      </c>
      <c r="I173" s="140">
        <f t="shared" si="28"/>
        <v>0</v>
      </c>
      <c r="J173" s="140">
        <f t="shared" si="28"/>
        <v>0</v>
      </c>
      <c r="K173" s="140">
        <f t="shared" si="28"/>
        <v>0</v>
      </c>
      <c r="L173" s="137" t="e">
        <f t="shared" si="24"/>
        <v>#DIV/0!</v>
      </c>
    </row>
    <row r="174" spans="1:12" ht="36.75" customHeight="1" hidden="1">
      <c r="A174" s="119" t="s">
        <v>225</v>
      </c>
      <c r="B174" s="117"/>
      <c r="C174" s="117"/>
      <c r="D174" s="118" t="s">
        <v>65</v>
      </c>
      <c r="E174" s="115" t="s">
        <v>24</v>
      </c>
      <c r="F174" s="115" t="s">
        <v>9</v>
      </c>
      <c r="G174" s="115" t="s">
        <v>274</v>
      </c>
      <c r="H174" s="115" t="s">
        <v>224</v>
      </c>
      <c r="I174" s="140"/>
      <c r="J174" s="140"/>
      <c r="K174" s="140"/>
      <c r="L174" s="137" t="e">
        <f t="shared" si="24"/>
        <v>#DIV/0!</v>
      </c>
    </row>
    <row r="175" spans="1:12" ht="25.5" customHeight="1" hidden="1">
      <c r="A175" s="116" t="s">
        <v>228</v>
      </c>
      <c r="B175" s="117"/>
      <c r="C175" s="117"/>
      <c r="D175" s="118" t="s">
        <v>65</v>
      </c>
      <c r="E175" s="115" t="s">
        <v>24</v>
      </c>
      <c r="F175" s="115" t="s">
        <v>9</v>
      </c>
      <c r="G175" s="115" t="s">
        <v>251</v>
      </c>
      <c r="H175" s="115" t="s">
        <v>167</v>
      </c>
      <c r="I175" s="140">
        <f>I176</f>
        <v>0</v>
      </c>
      <c r="J175" s="140">
        <f>J176</f>
        <v>0</v>
      </c>
      <c r="K175" s="140">
        <f>K176</f>
        <v>0</v>
      </c>
      <c r="L175" s="137" t="e">
        <f t="shared" si="24"/>
        <v>#DIV/0!</v>
      </c>
    </row>
    <row r="176" spans="1:12" ht="25.5" customHeight="1" hidden="1">
      <c r="A176" s="116" t="s">
        <v>164</v>
      </c>
      <c r="B176" s="117"/>
      <c r="C176" s="117"/>
      <c r="D176" s="118" t="s">
        <v>65</v>
      </c>
      <c r="E176" s="115" t="s">
        <v>24</v>
      </c>
      <c r="F176" s="115" t="s">
        <v>9</v>
      </c>
      <c r="G176" s="115" t="s">
        <v>251</v>
      </c>
      <c r="H176" s="115" t="s">
        <v>110</v>
      </c>
      <c r="I176" s="140"/>
      <c r="J176" s="140"/>
      <c r="K176" s="140"/>
      <c r="L176" s="137" t="e">
        <f t="shared" si="24"/>
        <v>#DIV/0!</v>
      </c>
    </row>
    <row r="177" spans="1:12" ht="25.5" customHeight="1">
      <c r="A177" s="113" t="s">
        <v>260</v>
      </c>
      <c r="B177" s="114"/>
      <c r="C177" s="114"/>
      <c r="D177" s="115" t="s">
        <v>65</v>
      </c>
      <c r="E177" s="115" t="s">
        <v>24</v>
      </c>
      <c r="F177" s="115" t="s">
        <v>9</v>
      </c>
      <c r="G177" s="115" t="s">
        <v>259</v>
      </c>
      <c r="H177" s="114"/>
      <c r="I177" s="140">
        <f>I178</f>
        <v>30</v>
      </c>
      <c r="J177" s="140">
        <f aca="true" t="shared" si="29" ref="J177:K179">J178</f>
        <v>30</v>
      </c>
      <c r="K177" s="140">
        <f t="shared" si="29"/>
        <v>0</v>
      </c>
      <c r="L177" s="137">
        <f t="shared" si="24"/>
        <v>0</v>
      </c>
    </row>
    <row r="178" spans="1:12" ht="25.5" customHeight="1">
      <c r="A178" s="120" t="s">
        <v>261</v>
      </c>
      <c r="B178" s="117"/>
      <c r="C178" s="117"/>
      <c r="D178" s="118" t="s">
        <v>65</v>
      </c>
      <c r="E178" s="115" t="s">
        <v>24</v>
      </c>
      <c r="F178" s="115" t="s">
        <v>9</v>
      </c>
      <c r="G178" s="115" t="s">
        <v>252</v>
      </c>
      <c r="H178" s="115"/>
      <c r="I178" s="140">
        <f>I179</f>
        <v>30</v>
      </c>
      <c r="J178" s="140">
        <f t="shared" si="29"/>
        <v>30</v>
      </c>
      <c r="K178" s="140">
        <f t="shared" si="29"/>
        <v>0</v>
      </c>
      <c r="L178" s="137">
        <f t="shared" si="24"/>
        <v>0</v>
      </c>
    </row>
    <row r="179" spans="1:12" ht="25.5" customHeight="1">
      <c r="A179" s="116" t="s">
        <v>228</v>
      </c>
      <c r="B179" s="117"/>
      <c r="C179" s="117"/>
      <c r="D179" s="118" t="s">
        <v>65</v>
      </c>
      <c r="E179" s="115" t="s">
        <v>24</v>
      </c>
      <c r="F179" s="115" t="s">
        <v>9</v>
      </c>
      <c r="G179" s="115" t="s">
        <v>252</v>
      </c>
      <c r="H179" s="115" t="s">
        <v>167</v>
      </c>
      <c r="I179" s="140">
        <f>I180</f>
        <v>30</v>
      </c>
      <c r="J179" s="140">
        <f t="shared" si="29"/>
        <v>30</v>
      </c>
      <c r="K179" s="140">
        <f t="shared" si="29"/>
        <v>0</v>
      </c>
      <c r="L179" s="137">
        <f t="shared" si="24"/>
        <v>0</v>
      </c>
    </row>
    <row r="180" spans="1:12" ht="25.5" customHeight="1">
      <c r="A180" s="116" t="s">
        <v>164</v>
      </c>
      <c r="B180" s="117"/>
      <c r="C180" s="117"/>
      <c r="D180" s="118" t="s">
        <v>65</v>
      </c>
      <c r="E180" s="115" t="s">
        <v>24</v>
      </c>
      <c r="F180" s="115" t="s">
        <v>9</v>
      </c>
      <c r="G180" s="115" t="s">
        <v>252</v>
      </c>
      <c r="H180" s="115" t="s">
        <v>110</v>
      </c>
      <c r="I180" s="140">
        <f>'[1]0503'!$D$21/1000</f>
        <v>30</v>
      </c>
      <c r="J180" s="140">
        <f>'[1]0503'!$D$21/1000</f>
        <v>30</v>
      </c>
      <c r="K180" s="140">
        <v>0</v>
      </c>
      <c r="L180" s="137">
        <f t="shared" si="24"/>
        <v>0</v>
      </c>
    </row>
    <row r="181" spans="1:12" ht="18" customHeight="1">
      <c r="A181" s="113" t="s">
        <v>253</v>
      </c>
      <c r="B181" s="118"/>
      <c r="C181" s="118"/>
      <c r="D181" s="118" t="s">
        <v>65</v>
      </c>
      <c r="E181" s="115" t="s">
        <v>24</v>
      </c>
      <c r="F181" s="115" t="s">
        <v>9</v>
      </c>
      <c r="G181" s="115" t="s">
        <v>196</v>
      </c>
      <c r="H181" s="115"/>
      <c r="I181" s="140">
        <f>I182+I185+I188</f>
        <v>4381.2345000000005</v>
      </c>
      <c r="J181" s="140">
        <f>J182+J185+J188</f>
        <v>4381.2345000000005</v>
      </c>
      <c r="K181" s="140">
        <f>K182+K185+K188</f>
        <v>620.99645</v>
      </c>
      <c r="L181" s="137">
        <f t="shared" si="24"/>
        <v>14.174006207611118</v>
      </c>
    </row>
    <row r="182" spans="1:12" ht="18" customHeight="1">
      <c r="A182" s="113" t="s">
        <v>124</v>
      </c>
      <c r="B182" s="118"/>
      <c r="C182" s="118"/>
      <c r="D182" s="118" t="s">
        <v>65</v>
      </c>
      <c r="E182" s="115" t="s">
        <v>24</v>
      </c>
      <c r="F182" s="115" t="s">
        <v>9</v>
      </c>
      <c r="G182" s="115" t="s">
        <v>197</v>
      </c>
      <c r="H182" s="115"/>
      <c r="I182" s="140">
        <f aca="true" t="shared" si="30" ref="I182:K183">I183</f>
        <v>2129.605</v>
      </c>
      <c r="J182" s="140">
        <f t="shared" si="30"/>
        <v>2129.605</v>
      </c>
      <c r="K182" s="140">
        <f t="shared" si="30"/>
        <v>607.01645</v>
      </c>
      <c r="L182" s="137">
        <f t="shared" si="24"/>
        <v>28.503710782046433</v>
      </c>
    </row>
    <row r="183" spans="1:12" ht="24.75" customHeight="1">
      <c r="A183" s="121" t="s">
        <v>228</v>
      </c>
      <c r="B183" s="118"/>
      <c r="C183" s="118"/>
      <c r="D183" s="118" t="s">
        <v>65</v>
      </c>
      <c r="E183" s="115" t="s">
        <v>24</v>
      </c>
      <c r="F183" s="115" t="s">
        <v>9</v>
      </c>
      <c r="G183" s="115" t="s">
        <v>197</v>
      </c>
      <c r="H183" s="115" t="s">
        <v>167</v>
      </c>
      <c r="I183" s="140">
        <f t="shared" si="30"/>
        <v>2129.605</v>
      </c>
      <c r="J183" s="140">
        <f t="shared" si="30"/>
        <v>2129.605</v>
      </c>
      <c r="K183" s="140">
        <f t="shared" si="30"/>
        <v>607.01645</v>
      </c>
      <c r="L183" s="137">
        <f t="shared" si="24"/>
        <v>28.503710782046433</v>
      </c>
    </row>
    <row r="184" spans="1:12" ht="24.75" customHeight="1">
      <c r="A184" s="119" t="s">
        <v>109</v>
      </c>
      <c r="B184" s="118"/>
      <c r="C184" s="118"/>
      <c r="D184" s="118" t="s">
        <v>65</v>
      </c>
      <c r="E184" s="115" t="s">
        <v>24</v>
      </c>
      <c r="F184" s="115" t="s">
        <v>9</v>
      </c>
      <c r="G184" s="115" t="s">
        <v>197</v>
      </c>
      <c r="H184" s="115" t="s">
        <v>110</v>
      </c>
      <c r="I184" s="140">
        <f>1700000/1000+650000/1000-12340/1000-5000/1000-20000/1000-3055/1000-50000/1000-50000/1000-50000/1000-30000/1000</f>
        <v>2129.605</v>
      </c>
      <c r="J184" s="140">
        <f>1700000/1000+650000/1000-12340/1000-5000/1000-20000/1000-3055/1000-50000/1000-50000/1000-50000/1000-30000/1000</f>
        <v>2129.605</v>
      </c>
      <c r="K184" s="140">
        <f>(615724.59-8708.14)/1000</f>
        <v>607.01645</v>
      </c>
      <c r="L184" s="137">
        <f t="shared" si="24"/>
        <v>28.503710782046433</v>
      </c>
    </row>
    <row r="185" spans="1:12" ht="17.25" customHeight="1">
      <c r="A185" s="113" t="s">
        <v>125</v>
      </c>
      <c r="B185" s="118"/>
      <c r="C185" s="118"/>
      <c r="D185" s="118" t="s">
        <v>65</v>
      </c>
      <c r="E185" s="115" t="s">
        <v>24</v>
      </c>
      <c r="F185" s="115" t="s">
        <v>9</v>
      </c>
      <c r="G185" s="115" t="s">
        <v>198</v>
      </c>
      <c r="H185" s="115"/>
      <c r="I185" s="140">
        <f aca="true" t="shared" si="31" ref="I185:K186">I186</f>
        <v>270</v>
      </c>
      <c r="J185" s="140">
        <f t="shared" si="31"/>
        <v>270</v>
      </c>
      <c r="K185" s="140">
        <f t="shared" si="31"/>
        <v>6.2</v>
      </c>
      <c r="L185" s="137">
        <f t="shared" si="24"/>
        <v>2.2962962962962963</v>
      </c>
    </row>
    <row r="186" spans="1:12" ht="24" customHeight="1">
      <c r="A186" s="121" t="s">
        <v>228</v>
      </c>
      <c r="B186" s="118" t="s">
        <v>81</v>
      </c>
      <c r="C186" s="118" t="s">
        <v>81</v>
      </c>
      <c r="D186" s="118" t="s">
        <v>65</v>
      </c>
      <c r="E186" s="115" t="s">
        <v>24</v>
      </c>
      <c r="F186" s="115" t="s">
        <v>9</v>
      </c>
      <c r="G186" s="115" t="s">
        <v>198</v>
      </c>
      <c r="H186" s="115" t="s">
        <v>167</v>
      </c>
      <c r="I186" s="140">
        <f t="shared" si="31"/>
        <v>270</v>
      </c>
      <c r="J186" s="140">
        <f t="shared" si="31"/>
        <v>270</v>
      </c>
      <c r="K186" s="140">
        <f t="shared" si="31"/>
        <v>6.2</v>
      </c>
      <c r="L186" s="137">
        <f t="shared" si="24"/>
        <v>2.2962962962962963</v>
      </c>
    </row>
    <row r="187" spans="1:12" ht="25.5" customHeight="1">
      <c r="A187" s="119" t="s">
        <v>109</v>
      </c>
      <c r="B187" s="118"/>
      <c r="C187" s="118"/>
      <c r="D187" s="118" t="s">
        <v>65</v>
      </c>
      <c r="E187" s="115" t="s">
        <v>24</v>
      </c>
      <c r="F187" s="115" t="s">
        <v>9</v>
      </c>
      <c r="G187" s="115" t="s">
        <v>198</v>
      </c>
      <c r="H187" s="115" t="s">
        <v>110</v>
      </c>
      <c r="I187" s="140">
        <f>270000/1000</f>
        <v>270</v>
      </c>
      <c r="J187" s="140">
        <f>270000/1000</f>
        <v>270</v>
      </c>
      <c r="K187" s="140">
        <f>6200/1000</f>
        <v>6.2</v>
      </c>
      <c r="L187" s="137">
        <f t="shared" si="24"/>
        <v>2.2962962962962963</v>
      </c>
    </row>
    <row r="188" spans="1:12" ht="18" customHeight="1">
      <c r="A188" s="113" t="s">
        <v>126</v>
      </c>
      <c r="B188" s="118"/>
      <c r="C188" s="118"/>
      <c r="D188" s="118" t="s">
        <v>65</v>
      </c>
      <c r="E188" s="115" t="s">
        <v>24</v>
      </c>
      <c r="F188" s="115" t="s">
        <v>9</v>
      </c>
      <c r="G188" s="115" t="s">
        <v>196</v>
      </c>
      <c r="H188" s="115"/>
      <c r="I188" s="140">
        <f>I189</f>
        <v>1981.6295</v>
      </c>
      <c r="J188" s="140">
        <f aca="true" t="shared" si="32" ref="J188:K190">J189</f>
        <v>1981.6295</v>
      </c>
      <c r="K188" s="140">
        <f t="shared" si="32"/>
        <v>7.78</v>
      </c>
      <c r="L188" s="137">
        <f t="shared" si="24"/>
        <v>0.39260618596967795</v>
      </c>
    </row>
    <row r="189" spans="1:12" ht="17.25" customHeight="1">
      <c r="A189" s="113" t="s">
        <v>199</v>
      </c>
      <c r="B189" s="118" t="s">
        <v>81</v>
      </c>
      <c r="C189" s="118" t="s">
        <v>81</v>
      </c>
      <c r="D189" s="118" t="s">
        <v>65</v>
      </c>
      <c r="E189" s="115" t="s">
        <v>24</v>
      </c>
      <c r="F189" s="115" t="s">
        <v>9</v>
      </c>
      <c r="G189" s="115" t="s">
        <v>200</v>
      </c>
      <c r="H189" s="115"/>
      <c r="I189" s="140">
        <f>I190</f>
        <v>1981.6295</v>
      </c>
      <c r="J189" s="140">
        <f t="shared" si="32"/>
        <v>1981.6295</v>
      </c>
      <c r="K189" s="140">
        <f t="shared" si="32"/>
        <v>7.78</v>
      </c>
      <c r="L189" s="137">
        <f t="shared" si="24"/>
        <v>0.39260618596967795</v>
      </c>
    </row>
    <row r="190" spans="1:12" ht="22.5">
      <c r="A190" s="121" t="s">
        <v>228</v>
      </c>
      <c r="B190" s="118" t="s">
        <v>81</v>
      </c>
      <c r="C190" s="118" t="s">
        <v>81</v>
      </c>
      <c r="D190" s="118" t="s">
        <v>65</v>
      </c>
      <c r="E190" s="115" t="s">
        <v>24</v>
      </c>
      <c r="F190" s="115" t="s">
        <v>9</v>
      </c>
      <c r="G190" s="115" t="s">
        <v>200</v>
      </c>
      <c r="H190" s="115" t="s">
        <v>167</v>
      </c>
      <c r="I190" s="140">
        <f>I191</f>
        <v>1981.6295</v>
      </c>
      <c r="J190" s="140">
        <f t="shared" si="32"/>
        <v>1981.6295</v>
      </c>
      <c r="K190" s="140">
        <f t="shared" si="32"/>
        <v>7.78</v>
      </c>
      <c r="L190" s="137">
        <f t="shared" si="24"/>
        <v>0.39260618596967795</v>
      </c>
    </row>
    <row r="191" spans="1:12" ht="23.25" customHeight="1">
      <c r="A191" s="119" t="s">
        <v>109</v>
      </c>
      <c r="B191" s="118"/>
      <c r="C191" s="118"/>
      <c r="D191" s="118" t="s">
        <v>65</v>
      </c>
      <c r="E191" s="115" t="s">
        <v>24</v>
      </c>
      <c r="F191" s="115" t="s">
        <v>9</v>
      </c>
      <c r="G191" s="115" t="s">
        <v>200</v>
      </c>
      <c r="H191" s="115" t="s">
        <v>110</v>
      </c>
      <c r="I191" s="140">
        <f>1107200/1000+1509675.29/1000-55607.51/1000-659593.28/1000-45/1000+50000/1000+30000/1000</f>
        <v>1981.6295</v>
      </c>
      <c r="J191" s="140">
        <f>1107200/1000+1509675.29/1000-55607.51/1000-659593.28/1000-45/1000+50000/1000+30000/1000</f>
        <v>1981.6295</v>
      </c>
      <c r="K191" s="140">
        <f>7780/1000</f>
        <v>7.78</v>
      </c>
      <c r="L191" s="137">
        <f t="shared" si="24"/>
        <v>0.39260618596967795</v>
      </c>
    </row>
    <row r="192" spans="1:12" ht="14.25" customHeight="1">
      <c r="A192" s="122" t="s">
        <v>49</v>
      </c>
      <c r="B192" s="123" t="s">
        <v>81</v>
      </c>
      <c r="C192" s="123" t="s">
        <v>81</v>
      </c>
      <c r="D192" s="123" t="s">
        <v>65</v>
      </c>
      <c r="E192" s="124" t="s">
        <v>32</v>
      </c>
      <c r="F192" s="124"/>
      <c r="G192" s="124"/>
      <c r="H192" s="124"/>
      <c r="I192" s="138">
        <f>I193</f>
        <v>7359.35976</v>
      </c>
      <c r="J192" s="138">
        <f>J193</f>
        <v>7363.35976</v>
      </c>
      <c r="K192" s="138">
        <f>K193</f>
        <v>4501.11693</v>
      </c>
      <c r="L192" s="137">
        <f t="shared" si="24"/>
        <v>61.16180043900993</v>
      </c>
    </row>
    <row r="193" spans="1:12" ht="14.25" customHeight="1">
      <c r="A193" s="125" t="s">
        <v>96</v>
      </c>
      <c r="B193" s="117" t="s">
        <v>81</v>
      </c>
      <c r="C193" s="117" t="s">
        <v>81</v>
      </c>
      <c r="D193" s="117" t="s">
        <v>65</v>
      </c>
      <c r="E193" s="114" t="s">
        <v>32</v>
      </c>
      <c r="F193" s="114" t="s">
        <v>6</v>
      </c>
      <c r="G193" s="114"/>
      <c r="H193" s="114"/>
      <c r="I193" s="139">
        <f>I200</f>
        <v>7359.35976</v>
      </c>
      <c r="J193" s="139">
        <f>J200</f>
        <v>7363.35976</v>
      </c>
      <c r="K193" s="139">
        <f>K200</f>
        <v>4501.11693</v>
      </c>
      <c r="L193" s="137">
        <f t="shared" si="24"/>
        <v>61.16180043900993</v>
      </c>
    </row>
    <row r="194" spans="1:12" ht="27.75" customHeight="1" hidden="1">
      <c r="A194" s="113" t="s">
        <v>177</v>
      </c>
      <c r="B194" s="117"/>
      <c r="C194" s="117"/>
      <c r="D194" s="118" t="s">
        <v>65</v>
      </c>
      <c r="E194" s="115" t="s">
        <v>32</v>
      </c>
      <c r="F194" s="115" t="s">
        <v>6</v>
      </c>
      <c r="G194" s="115" t="s">
        <v>166</v>
      </c>
      <c r="H194" s="114"/>
      <c r="I194" s="140">
        <f aca="true" t="shared" si="33" ref="I194:K195">I195</f>
        <v>0</v>
      </c>
      <c r="J194" s="140">
        <f t="shared" si="33"/>
        <v>0</v>
      </c>
      <c r="K194" s="140">
        <f t="shared" si="33"/>
        <v>0</v>
      </c>
      <c r="L194" s="137" t="e">
        <f t="shared" si="24"/>
        <v>#DIV/0!</v>
      </c>
    </row>
    <row r="195" spans="1:12" ht="26.25" customHeight="1" hidden="1">
      <c r="A195" s="116" t="s">
        <v>210</v>
      </c>
      <c r="B195" s="117"/>
      <c r="C195" s="117"/>
      <c r="D195" s="118" t="s">
        <v>65</v>
      </c>
      <c r="E195" s="115" t="s">
        <v>32</v>
      </c>
      <c r="F195" s="115" t="s">
        <v>6</v>
      </c>
      <c r="G195" s="115" t="s">
        <v>166</v>
      </c>
      <c r="H195" s="115" t="s">
        <v>128</v>
      </c>
      <c r="I195" s="140">
        <f t="shared" si="33"/>
        <v>0</v>
      </c>
      <c r="J195" s="140">
        <f t="shared" si="33"/>
        <v>0</v>
      </c>
      <c r="K195" s="140">
        <f t="shared" si="33"/>
        <v>0</v>
      </c>
      <c r="L195" s="137" t="e">
        <f t="shared" si="24"/>
        <v>#DIV/0!</v>
      </c>
    </row>
    <row r="196" spans="1:12" ht="34.5" customHeight="1" hidden="1">
      <c r="A196" s="113" t="s">
        <v>127</v>
      </c>
      <c r="B196" s="117"/>
      <c r="C196" s="117"/>
      <c r="D196" s="118" t="s">
        <v>65</v>
      </c>
      <c r="E196" s="115" t="s">
        <v>32</v>
      </c>
      <c r="F196" s="115" t="s">
        <v>6</v>
      </c>
      <c r="G196" s="115" t="s">
        <v>166</v>
      </c>
      <c r="H196" s="115" t="s">
        <v>129</v>
      </c>
      <c r="I196" s="140"/>
      <c r="J196" s="140"/>
      <c r="K196" s="140"/>
      <c r="L196" s="137" t="e">
        <f t="shared" si="24"/>
        <v>#DIV/0!</v>
      </c>
    </row>
    <row r="197" spans="1:12" ht="28.5" customHeight="1" hidden="1">
      <c r="A197" s="113" t="s">
        <v>178</v>
      </c>
      <c r="B197" s="117"/>
      <c r="C197" s="117"/>
      <c r="D197" s="118" t="s">
        <v>65</v>
      </c>
      <c r="E197" s="115" t="s">
        <v>32</v>
      </c>
      <c r="F197" s="115" t="s">
        <v>6</v>
      </c>
      <c r="G197" s="115" t="s">
        <v>168</v>
      </c>
      <c r="H197" s="114"/>
      <c r="I197" s="140">
        <f aca="true" t="shared" si="34" ref="I197:K198">I198</f>
        <v>0</v>
      </c>
      <c r="J197" s="140">
        <f t="shared" si="34"/>
        <v>0</v>
      </c>
      <c r="K197" s="140">
        <f t="shared" si="34"/>
        <v>0</v>
      </c>
      <c r="L197" s="137" t="e">
        <f t="shared" si="24"/>
        <v>#DIV/0!</v>
      </c>
    </row>
    <row r="198" spans="1:12" ht="27" customHeight="1" hidden="1">
      <c r="A198" s="116" t="s">
        <v>210</v>
      </c>
      <c r="B198" s="117"/>
      <c r="C198" s="117"/>
      <c r="D198" s="118" t="s">
        <v>65</v>
      </c>
      <c r="E198" s="115" t="s">
        <v>32</v>
      </c>
      <c r="F198" s="115" t="s">
        <v>6</v>
      </c>
      <c r="G198" s="115" t="s">
        <v>168</v>
      </c>
      <c r="H198" s="115" t="s">
        <v>128</v>
      </c>
      <c r="I198" s="140">
        <f t="shared" si="34"/>
        <v>0</v>
      </c>
      <c r="J198" s="140">
        <f t="shared" si="34"/>
        <v>0</v>
      </c>
      <c r="K198" s="140">
        <f t="shared" si="34"/>
        <v>0</v>
      </c>
      <c r="L198" s="137" t="e">
        <f t="shared" si="24"/>
        <v>#DIV/0!</v>
      </c>
    </row>
    <row r="199" spans="1:12" ht="36" customHeight="1" hidden="1">
      <c r="A199" s="113" t="s">
        <v>127</v>
      </c>
      <c r="B199" s="117"/>
      <c r="C199" s="117"/>
      <c r="D199" s="118" t="s">
        <v>65</v>
      </c>
      <c r="E199" s="115" t="s">
        <v>32</v>
      </c>
      <c r="F199" s="115" t="s">
        <v>6</v>
      </c>
      <c r="G199" s="115" t="s">
        <v>168</v>
      </c>
      <c r="H199" s="115" t="s">
        <v>129</v>
      </c>
      <c r="I199" s="140"/>
      <c r="J199" s="140"/>
      <c r="K199" s="140"/>
      <c r="L199" s="137" t="e">
        <f t="shared" si="24"/>
        <v>#DIV/0!</v>
      </c>
    </row>
    <row r="200" spans="1:12" ht="27" customHeight="1">
      <c r="A200" s="126" t="s">
        <v>254</v>
      </c>
      <c r="B200" s="117"/>
      <c r="C200" s="117"/>
      <c r="D200" s="118" t="s">
        <v>65</v>
      </c>
      <c r="E200" s="115" t="s">
        <v>32</v>
      </c>
      <c r="F200" s="115" t="s">
        <v>6</v>
      </c>
      <c r="G200" s="115" t="s">
        <v>255</v>
      </c>
      <c r="H200" s="115"/>
      <c r="I200" s="140">
        <f>I201+I213+I222+I211+I225+I227+I219+I216</f>
        <v>7359.35976</v>
      </c>
      <c r="J200" s="140">
        <f>J201+J213+J222+J211+J225+J227+J219+J216</f>
        <v>7363.35976</v>
      </c>
      <c r="K200" s="140">
        <f>K201</f>
        <v>4501.11693</v>
      </c>
      <c r="L200" s="137">
        <f t="shared" si="24"/>
        <v>61.16180043900993</v>
      </c>
    </row>
    <row r="201" spans="1:12" ht="35.25" customHeight="1">
      <c r="A201" s="126" t="s">
        <v>262</v>
      </c>
      <c r="B201" s="117"/>
      <c r="C201" s="117"/>
      <c r="D201" s="118" t="s">
        <v>65</v>
      </c>
      <c r="E201" s="115" t="s">
        <v>32</v>
      </c>
      <c r="F201" s="115" t="s">
        <v>6</v>
      </c>
      <c r="G201" s="115" t="s">
        <v>256</v>
      </c>
      <c r="H201" s="115"/>
      <c r="I201" s="140">
        <f>I202+I203+I205+I206</f>
        <v>7153.959760000001</v>
      </c>
      <c r="J201" s="140">
        <f>J202+J203+J205+J206</f>
        <v>7153.959760000001</v>
      </c>
      <c r="K201" s="140">
        <f>K202+K203+K205+K206</f>
        <v>4501.11693</v>
      </c>
      <c r="L201" s="137">
        <f t="shared" si="24"/>
        <v>62.91783964409663</v>
      </c>
    </row>
    <row r="202" spans="1:12" ht="16.5" customHeight="1">
      <c r="A202" s="116" t="s">
        <v>248</v>
      </c>
      <c r="B202" s="117"/>
      <c r="C202" s="117"/>
      <c r="D202" s="118" t="s">
        <v>65</v>
      </c>
      <c r="E202" s="115" t="s">
        <v>32</v>
      </c>
      <c r="F202" s="115" t="s">
        <v>6</v>
      </c>
      <c r="G202" s="115" t="s">
        <v>256</v>
      </c>
      <c r="H202" s="115" t="s">
        <v>247</v>
      </c>
      <c r="I202" s="140">
        <f>2777888.72/1000-491929.46/1000</f>
        <v>2285.9592600000005</v>
      </c>
      <c r="J202" s="140">
        <f>2777888.72/1000-491929.46/1000</f>
        <v>2285.9592600000005</v>
      </c>
      <c r="K202" s="140">
        <f>1612905/1000</f>
        <v>1612.905</v>
      </c>
      <c r="L202" s="137">
        <f t="shared" si="24"/>
        <v>70.55703171192997</v>
      </c>
    </row>
    <row r="203" spans="1:12" ht="27" customHeight="1">
      <c r="A203" s="127" t="s">
        <v>228</v>
      </c>
      <c r="B203" s="118" t="s">
        <v>81</v>
      </c>
      <c r="C203" s="118" t="s">
        <v>81</v>
      </c>
      <c r="D203" s="118" t="s">
        <v>65</v>
      </c>
      <c r="E203" s="115" t="s">
        <v>32</v>
      </c>
      <c r="F203" s="115" t="s">
        <v>6</v>
      </c>
      <c r="G203" s="115" t="s">
        <v>256</v>
      </c>
      <c r="H203" s="115" t="s">
        <v>167</v>
      </c>
      <c r="I203" s="140">
        <f>I204</f>
        <v>4711.4355</v>
      </c>
      <c r="J203" s="140">
        <f>J204</f>
        <v>4711.4355</v>
      </c>
      <c r="K203" s="140">
        <f>K204</f>
        <v>2795.2830400000003</v>
      </c>
      <c r="L203" s="137">
        <f t="shared" si="24"/>
        <v>59.329752895906154</v>
      </c>
    </row>
    <row r="204" spans="1:12" ht="25.5" customHeight="1">
      <c r="A204" s="116" t="s">
        <v>164</v>
      </c>
      <c r="B204" s="118" t="s">
        <v>81</v>
      </c>
      <c r="C204" s="118" t="s">
        <v>81</v>
      </c>
      <c r="D204" s="118" t="s">
        <v>65</v>
      </c>
      <c r="E204" s="115" t="s">
        <v>32</v>
      </c>
      <c r="F204" s="115" t="s">
        <v>6</v>
      </c>
      <c r="G204" s="115" t="s">
        <v>256</v>
      </c>
      <c r="H204" s="115" t="s">
        <v>110</v>
      </c>
      <c r="I204" s="140">
        <f>4395435.5/1000+300000/1000+20000/1000-4000/1000</f>
        <v>4711.4355</v>
      </c>
      <c r="J204" s="140">
        <f>4395435.5/1000+300000/1000+20000/1000-4000/1000</f>
        <v>4711.4355</v>
      </c>
      <c r="K204" s="140">
        <f>2795283.04/1000</f>
        <v>2795.2830400000003</v>
      </c>
      <c r="L204" s="137">
        <f t="shared" si="24"/>
        <v>59.329752895906154</v>
      </c>
    </row>
    <row r="205" spans="1:12" ht="25.5" customHeight="1">
      <c r="A205" s="116" t="s">
        <v>238</v>
      </c>
      <c r="B205" s="118"/>
      <c r="C205" s="118"/>
      <c r="D205" s="118" t="s">
        <v>65</v>
      </c>
      <c r="E205" s="115" t="s">
        <v>32</v>
      </c>
      <c r="F205" s="115" t="s">
        <v>6</v>
      </c>
      <c r="G205" s="115" t="s">
        <v>256</v>
      </c>
      <c r="H205" s="115" t="s">
        <v>237</v>
      </c>
      <c r="I205" s="140">
        <f>'[1]0801 '!$D$70/1000</f>
        <v>98.89</v>
      </c>
      <c r="J205" s="140">
        <f>'[1]0801 '!$D$70/1000</f>
        <v>98.89</v>
      </c>
      <c r="K205" s="140">
        <f>49395.09/1000</f>
        <v>49.395089999999996</v>
      </c>
      <c r="L205" s="137">
        <f t="shared" si="24"/>
        <v>49.94952978056426</v>
      </c>
    </row>
    <row r="206" spans="1:12" ht="15.75" customHeight="1">
      <c r="A206" s="128" t="s">
        <v>87</v>
      </c>
      <c r="B206" s="118"/>
      <c r="C206" s="118"/>
      <c r="D206" s="118" t="s">
        <v>65</v>
      </c>
      <c r="E206" s="115" t="s">
        <v>32</v>
      </c>
      <c r="F206" s="115" t="s">
        <v>6</v>
      </c>
      <c r="G206" s="115" t="s">
        <v>256</v>
      </c>
      <c r="H206" s="115" t="s">
        <v>88</v>
      </c>
      <c r="I206" s="140">
        <f>I208+I207</f>
        <v>57.675</v>
      </c>
      <c r="J206" s="140">
        <f>J208+J207</f>
        <v>57.675</v>
      </c>
      <c r="K206" s="140">
        <f>K208+K207</f>
        <v>43.5338</v>
      </c>
      <c r="L206" s="137">
        <f>K206/I206*100</f>
        <v>75.48123103597746</v>
      </c>
    </row>
    <row r="207" spans="1:12" ht="22.5" customHeight="1">
      <c r="A207" s="128" t="s">
        <v>215</v>
      </c>
      <c r="B207" s="118"/>
      <c r="C207" s="118"/>
      <c r="D207" s="118" t="s">
        <v>65</v>
      </c>
      <c r="E207" s="115" t="s">
        <v>32</v>
      </c>
      <c r="F207" s="115" t="s">
        <v>6</v>
      </c>
      <c r="G207" s="115" t="s">
        <v>279</v>
      </c>
      <c r="H207" s="115" t="s">
        <v>214</v>
      </c>
      <c r="I207" s="140">
        <f>30900/1000</f>
        <v>30.9</v>
      </c>
      <c r="J207" s="140">
        <f>30900/1000</f>
        <v>30.9</v>
      </c>
      <c r="K207" s="140">
        <f>30900/1000</f>
        <v>30.9</v>
      </c>
      <c r="L207" s="137">
        <f t="shared" si="24"/>
        <v>100</v>
      </c>
    </row>
    <row r="208" spans="1:12" ht="15.75" customHeight="1">
      <c r="A208" s="128" t="s">
        <v>113</v>
      </c>
      <c r="B208" s="118"/>
      <c r="C208" s="118"/>
      <c r="D208" s="118" t="s">
        <v>65</v>
      </c>
      <c r="E208" s="115" t="s">
        <v>32</v>
      </c>
      <c r="F208" s="115" t="s">
        <v>6</v>
      </c>
      <c r="G208" s="115" t="s">
        <v>256</v>
      </c>
      <c r="H208" s="115" t="s">
        <v>114</v>
      </c>
      <c r="I208" s="140">
        <f>14000/1000+5720/1000+3055/1000+4000/1000</f>
        <v>26.775</v>
      </c>
      <c r="J208" s="140">
        <f>14000/1000+5720/1000+3055/1000+4000/1000</f>
        <v>26.775</v>
      </c>
      <c r="K208" s="140">
        <f>12633.8/1000</f>
        <v>12.633799999999999</v>
      </c>
      <c r="L208" s="137">
        <f aca="true" t="shared" si="35" ref="L208:L255">K208/I208*100</f>
        <v>47.18506069094304</v>
      </c>
    </row>
    <row r="209" spans="1:12" ht="26.25" customHeight="1" hidden="1">
      <c r="A209" s="116" t="s">
        <v>210</v>
      </c>
      <c r="B209" s="118"/>
      <c r="C209" s="118"/>
      <c r="D209" s="118" t="s">
        <v>65</v>
      </c>
      <c r="E209" s="115" t="s">
        <v>32</v>
      </c>
      <c r="F209" s="115" t="s">
        <v>6</v>
      </c>
      <c r="G209" s="115" t="s">
        <v>213</v>
      </c>
      <c r="H209" s="115" t="s">
        <v>128</v>
      </c>
      <c r="I209" s="140">
        <f>I210</f>
        <v>0</v>
      </c>
      <c r="J209" s="140">
        <f>J210</f>
        <v>0</v>
      </c>
      <c r="K209" s="140">
        <f>K210</f>
        <v>0</v>
      </c>
      <c r="L209" s="137" t="e">
        <f t="shared" si="35"/>
        <v>#DIV/0!</v>
      </c>
    </row>
    <row r="210" spans="1:12" ht="20.25" customHeight="1" hidden="1">
      <c r="A210" s="113" t="s">
        <v>152</v>
      </c>
      <c r="B210" s="118"/>
      <c r="C210" s="118"/>
      <c r="D210" s="118" t="s">
        <v>65</v>
      </c>
      <c r="E210" s="115" t="s">
        <v>32</v>
      </c>
      <c r="F210" s="115" t="s">
        <v>6</v>
      </c>
      <c r="G210" s="115" t="s">
        <v>213</v>
      </c>
      <c r="H210" s="115" t="s">
        <v>153</v>
      </c>
      <c r="I210" s="140"/>
      <c r="J210" s="140"/>
      <c r="K210" s="140"/>
      <c r="L210" s="137" t="e">
        <f t="shared" si="35"/>
        <v>#DIV/0!</v>
      </c>
    </row>
    <row r="211" spans="1:12" ht="48.75" customHeight="1">
      <c r="A211" s="113" t="s">
        <v>151</v>
      </c>
      <c r="B211" s="118"/>
      <c r="C211" s="118"/>
      <c r="D211" s="118" t="s">
        <v>65</v>
      </c>
      <c r="E211" s="115" t="s">
        <v>32</v>
      </c>
      <c r="F211" s="115" t="s">
        <v>6</v>
      </c>
      <c r="G211" s="115" t="s">
        <v>265</v>
      </c>
      <c r="H211" s="115"/>
      <c r="I211" s="140">
        <f>I212</f>
        <v>5.4</v>
      </c>
      <c r="J211" s="140">
        <f>J212</f>
        <v>5.4</v>
      </c>
      <c r="K211" s="140">
        <f>K212</f>
        <v>0</v>
      </c>
      <c r="L211" s="137">
        <f t="shared" si="35"/>
        <v>0</v>
      </c>
    </row>
    <row r="212" spans="1:12" ht="20.25" customHeight="1">
      <c r="A212" s="116" t="s">
        <v>248</v>
      </c>
      <c r="B212" s="118"/>
      <c r="C212" s="118"/>
      <c r="D212" s="118" t="s">
        <v>65</v>
      </c>
      <c r="E212" s="115" t="s">
        <v>32</v>
      </c>
      <c r="F212" s="115" t="s">
        <v>6</v>
      </c>
      <c r="G212" s="115" t="s">
        <v>265</v>
      </c>
      <c r="H212" s="115" t="s">
        <v>247</v>
      </c>
      <c r="I212" s="140">
        <f>5400/1000</f>
        <v>5.4</v>
      </c>
      <c r="J212" s="140">
        <f>5400/1000</f>
        <v>5.4</v>
      </c>
      <c r="K212" s="140">
        <v>0</v>
      </c>
      <c r="L212" s="137">
        <f t="shared" si="35"/>
        <v>0</v>
      </c>
    </row>
    <row r="213" spans="1:12" ht="34.5" customHeight="1" hidden="1">
      <c r="A213" s="126" t="s">
        <v>257</v>
      </c>
      <c r="B213" s="118"/>
      <c r="C213" s="118"/>
      <c r="D213" s="118" t="s">
        <v>65</v>
      </c>
      <c r="E213" s="115" t="s">
        <v>32</v>
      </c>
      <c r="F213" s="115" t="s">
        <v>6</v>
      </c>
      <c r="G213" s="115" t="s">
        <v>258</v>
      </c>
      <c r="H213" s="115"/>
      <c r="I213" s="140">
        <f aca="true" t="shared" si="36" ref="I213:K214">I214</f>
        <v>0</v>
      </c>
      <c r="J213" s="140">
        <f t="shared" si="36"/>
        <v>0</v>
      </c>
      <c r="K213" s="140">
        <f t="shared" si="36"/>
        <v>0</v>
      </c>
      <c r="L213" s="137" t="e">
        <f t="shared" si="35"/>
        <v>#DIV/0!</v>
      </c>
    </row>
    <row r="214" spans="1:12" ht="24" customHeight="1" hidden="1">
      <c r="A214" s="127" t="s">
        <v>228</v>
      </c>
      <c r="B214" s="118" t="s">
        <v>81</v>
      </c>
      <c r="C214" s="118" t="s">
        <v>81</v>
      </c>
      <c r="D214" s="118" t="s">
        <v>65</v>
      </c>
      <c r="E214" s="115" t="s">
        <v>32</v>
      </c>
      <c r="F214" s="115" t="s">
        <v>6</v>
      </c>
      <c r="G214" s="115" t="s">
        <v>258</v>
      </c>
      <c r="H214" s="115" t="s">
        <v>167</v>
      </c>
      <c r="I214" s="140">
        <f t="shared" si="36"/>
        <v>0</v>
      </c>
      <c r="J214" s="140">
        <f t="shared" si="36"/>
        <v>0</v>
      </c>
      <c r="K214" s="140">
        <f t="shared" si="36"/>
        <v>0</v>
      </c>
      <c r="L214" s="137" t="e">
        <f t="shared" si="35"/>
        <v>#DIV/0!</v>
      </c>
    </row>
    <row r="215" spans="1:12" ht="28.5" customHeight="1" hidden="1">
      <c r="A215" s="116" t="s">
        <v>164</v>
      </c>
      <c r="B215" s="118" t="s">
        <v>81</v>
      </c>
      <c r="C215" s="118" t="s">
        <v>81</v>
      </c>
      <c r="D215" s="118" t="s">
        <v>65</v>
      </c>
      <c r="E215" s="115" t="s">
        <v>32</v>
      </c>
      <c r="F215" s="115" t="s">
        <v>6</v>
      </c>
      <c r="G215" s="115" t="s">
        <v>258</v>
      </c>
      <c r="H215" s="115" t="s">
        <v>110</v>
      </c>
      <c r="I215" s="140">
        <f>(100000-100000)/1000</f>
        <v>0</v>
      </c>
      <c r="J215" s="140">
        <f>(100000-100000)/1000</f>
        <v>0</v>
      </c>
      <c r="K215" s="140">
        <f>(100000-100000)/1000</f>
        <v>0</v>
      </c>
      <c r="L215" s="137" t="e">
        <f t="shared" si="35"/>
        <v>#DIV/0!</v>
      </c>
    </row>
    <row r="216" spans="1:12" ht="30.75" customHeight="1">
      <c r="A216" s="126" t="s">
        <v>291</v>
      </c>
      <c r="B216" s="118"/>
      <c r="C216" s="118"/>
      <c r="D216" s="118" t="s">
        <v>65</v>
      </c>
      <c r="E216" s="115" t="s">
        <v>32</v>
      </c>
      <c r="F216" s="115" t="s">
        <v>6</v>
      </c>
      <c r="G216" s="115" t="s">
        <v>292</v>
      </c>
      <c r="H216" s="115"/>
      <c r="I216" s="140">
        <f aca="true" t="shared" si="37" ref="I216:K217">I217</f>
        <v>200</v>
      </c>
      <c r="J216" s="140">
        <f t="shared" si="37"/>
        <v>200</v>
      </c>
      <c r="K216" s="140">
        <f t="shared" si="37"/>
        <v>0</v>
      </c>
      <c r="L216" s="137">
        <f t="shared" si="35"/>
        <v>0</v>
      </c>
    </row>
    <row r="217" spans="1:12" ht="28.5" customHeight="1">
      <c r="A217" s="127" t="s">
        <v>228</v>
      </c>
      <c r="B217" s="118" t="s">
        <v>81</v>
      </c>
      <c r="C217" s="118" t="s">
        <v>81</v>
      </c>
      <c r="D217" s="118" t="s">
        <v>65</v>
      </c>
      <c r="E217" s="115" t="s">
        <v>32</v>
      </c>
      <c r="F217" s="115" t="s">
        <v>6</v>
      </c>
      <c r="G217" s="115" t="s">
        <v>292</v>
      </c>
      <c r="H217" s="115" t="s">
        <v>167</v>
      </c>
      <c r="I217" s="140">
        <f t="shared" si="37"/>
        <v>200</v>
      </c>
      <c r="J217" s="140">
        <f t="shared" si="37"/>
        <v>200</v>
      </c>
      <c r="K217" s="140">
        <f t="shared" si="37"/>
        <v>0</v>
      </c>
      <c r="L217" s="137">
        <f t="shared" si="35"/>
        <v>0</v>
      </c>
    </row>
    <row r="218" spans="1:12" ht="28.5" customHeight="1">
      <c r="A218" s="116" t="s">
        <v>164</v>
      </c>
      <c r="B218" s="118" t="s">
        <v>81</v>
      </c>
      <c r="C218" s="118" t="s">
        <v>81</v>
      </c>
      <c r="D218" s="118" t="s">
        <v>65</v>
      </c>
      <c r="E218" s="115" t="s">
        <v>32</v>
      </c>
      <c r="F218" s="115" t="s">
        <v>6</v>
      </c>
      <c r="G218" s="115" t="s">
        <v>292</v>
      </c>
      <c r="H218" s="115" t="s">
        <v>110</v>
      </c>
      <c r="I218" s="140">
        <f>200000/1000</f>
        <v>200</v>
      </c>
      <c r="J218" s="140">
        <f>200000/1000</f>
        <v>200</v>
      </c>
      <c r="K218" s="140">
        <v>0</v>
      </c>
      <c r="L218" s="137">
        <f t="shared" si="35"/>
        <v>0</v>
      </c>
    </row>
    <row r="219" spans="1:12" ht="31.5" customHeight="1" hidden="1">
      <c r="A219" s="113" t="s">
        <v>272</v>
      </c>
      <c r="B219" s="118"/>
      <c r="C219" s="118"/>
      <c r="D219" s="118" t="s">
        <v>65</v>
      </c>
      <c r="E219" s="115" t="s">
        <v>32</v>
      </c>
      <c r="F219" s="115" t="s">
        <v>6</v>
      </c>
      <c r="G219" s="115" t="s">
        <v>276</v>
      </c>
      <c r="H219" s="115"/>
      <c r="I219" s="140">
        <f aca="true" t="shared" si="38" ref="I219:K220">I220</f>
        <v>0</v>
      </c>
      <c r="J219" s="140">
        <f t="shared" si="38"/>
        <v>1</v>
      </c>
      <c r="K219" s="140">
        <f t="shared" si="38"/>
        <v>2</v>
      </c>
      <c r="L219" s="137" t="e">
        <f t="shared" si="35"/>
        <v>#DIV/0!</v>
      </c>
    </row>
    <row r="220" spans="1:12" ht="28.5" customHeight="1" hidden="1">
      <c r="A220" s="135" t="s">
        <v>40</v>
      </c>
      <c r="B220" s="118" t="s">
        <v>81</v>
      </c>
      <c r="C220" s="118" t="s">
        <v>81</v>
      </c>
      <c r="D220" s="118" t="s">
        <v>65</v>
      </c>
      <c r="E220" s="115" t="s">
        <v>32</v>
      </c>
      <c r="F220" s="115" t="s">
        <v>6</v>
      </c>
      <c r="G220" s="115" t="s">
        <v>276</v>
      </c>
      <c r="H220" s="115" t="s">
        <v>173</v>
      </c>
      <c r="I220" s="140">
        <f t="shared" si="38"/>
        <v>0</v>
      </c>
      <c r="J220" s="140">
        <f t="shared" si="38"/>
        <v>1</v>
      </c>
      <c r="K220" s="140">
        <f t="shared" si="38"/>
        <v>2</v>
      </c>
      <c r="L220" s="137" t="e">
        <f t="shared" si="35"/>
        <v>#DIV/0!</v>
      </c>
    </row>
    <row r="221" spans="1:12" ht="28.5" customHeight="1" hidden="1">
      <c r="A221" s="119" t="s">
        <v>225</v>
      </c>
      <c r="B221" s="118" t="s">
        <v>81</v>
      </c>
      <c r="C221" s="118" t="s">
        <v>81</v>
      </c>
      <c r="D221" s="118" t="s">
        <v>65</v>
      </c>
      <c r="E221" s="115" t="s">
        <v>32</v>
      </c>
      <c r="F221" s="115" t="s">
        <v>6</v>
      </c>
      <c r="G221" s="115" t="s">
        <v>276</v>
      </c>
      <c r="H221" s="115" t="s">
        <v>224</v>
      </c>
      <c r="I221" s="140">
        <v>0</v>
      </c>
      <c r="J221" s="140">
        <v>1</v>
      </c>
      <c r="K221" s="140">
        <v>2</v>
      </c>
      <c r="L221" s="137" t="e">
        <f t="shared" si="35"/>
        <v>#DIV/0!</v>
      </c>
    </row>
    <row r="222" spans="1:12" ht="39.75" customHeight="1" hidden="1">
      <c r="A222" s="126" t="s">
        <v>268</v>
      </c>
      <c r="B222" s="117"/>
      <c r="C222" s="117"/>
      <c r="D222" s="118" t="s">
        <v>65</v>
      </c>
      <c r="E222" s="115" t="s">
        <v>32</v>
      </c>
      <c r="F222" s="115" t="s">
        <v>6</v>
      </c>
      <c r="G222" s="115" t="s">
        <v>264</v>
      </c>
      <c r="H222" s="115"/>
      <c r="I222" s="140">
        <f>I223</f>
        <v>0</v>
      </c>
      <c r="J222" s="140">
        <f>J223</f>
        <v>1</v>
      </c>
      <c r="K222" s="140">
        <f>K223</f>
        <v>2</v>
      </c>
      <c r="L222" s="137" t="e">
        <f t="shared" si="35"/>
        <v>#DIV/0!</v>
      </c>
    </row>
    <row r="223" spans="1:12" ht="16.5" customHeight="1" hidden="1">
      <c r="A223" s="116" t="s">
        <v>248</v>
      </c>
      <c r="B223" s="117"/>
      <c r="C223" s="117"/>
      <c r="D223" s="118" t="s">
        <v>65</v>
      </c>
      <c r="E223" s="115" t="s">
        <v>32</v>
      </c>
      <c r="F223" s="115" t="s">
        <v>6</v>
      </c>
      <c r="G223" s="115" t="s">
        <v>264</v>
      </c>
      <c r="H223" s="115" t="s">
        <v>247</v>
      </c>
      <c r="I223" s="140">
        <v>0</v>
      </c>
      <c r="J223" s="140">
        <v>1</v>
      </c>
      <c r="K223" s="140">
        <v>2</v>
      </c>
      <c r="L223" s="137" t="e">
        <f t="shared" si="35"/>
        <v>#DIV/0!</v>
      </c>
    </row>
    <row r="224" spans="1:12" ht="24" customHeight="1" hidden="1">
      <c r="A224" s="113" t="s">
        <v>272</v>
      </c>
      <c r="B224" s="117"/>
      <c r="C224" s="117"/>
      <c r="D224" s="118" t="s">
        <v>65</v>
      </c>
      <c r="E224" s="115" t="s">
        <v>32</v>
      </c>
      <c r="F224" s="115" t="s">
        <v>6</v>
      </c>
      <c r="G224" s="115" t="s">
        <v>278</v>
      </c>
      <c r="H224" s="115"/>
      <c r="I224" s="140">
        <f aca="true" t="shared" si="39" ref="I224:K225">I225</f>
        <v>0</v>
      </c>
      <c r="J224" s="140">
        <f t="shared" si="39"/>
        <v>1</v>
      </c>
      <c r="K224" s="140">
        <f t="shared" si="39"/>
        <v>2</v>
      </c>
      <c r="L224" s="137" t="e">
        <f t="shared" si="35"/>
        <v>#DIV/0!</v>
      </c>
    </row>
    <row r="225" spans="1:12" ht="26.25" customHeight="1" hidden="1">
      <c r="A225" s="135" t="s">
        <v>40</v>
      </c>
      <c r="B225" s="70"/>
      <c r="C225" s="70"/>
      <c r="D225" s="73" t="s">
        <v>65</v>
      </c>
      <c r="E225" s="74" t="s">
        <v>32</v>
      </c>
      <c r="F225" s="74" t="s">
        <v>6</v>
      </c>
      <c r="G225" s="74" t="s">
        <v>278</v>
      </c>
      <c r="H225" s="74" t="s">
        <v>173</v>
      </c>
      <c r="I225" s="140">
        <f t="shared" si="39"/>
        <v>0</v>
      </c>
      <c r="J225" s="140">
        <f t="shared" si="39"/>
        <v>1</v>
      </c>
      <c r="K225" s="140">
        <f t="shared" si="39"/>
        <v>2</v>
      </c>
      <c r="L225" s="137" t="e">
        <f t="shared" si="35"/>
        <v>#DIV/0!</v>
      </c>
    </row>
    <row r="226" spans="1:12" ht="16.5" customHeight="1" hidden="1">
      <c r="A226" s="119" t="s">
        <v>225</v>
      </c>
      <c r="B226" s="70"/>
      <c r="C226" s="70"/>
      <c r="D226" s="73" t="s">
        <v>65</v>
      </c>
      <c r="E226" s="74" t="s">
        <v>32</v>
      </c>
      <c r="F226" s="74" t="s">
        <v>6</v>
      </c>
      <c r="G226" s="74" t="s">
        <v>278</v>
      </c>
      <c r="H226" s="74" t="s">
        <v>224</v>
      </c>
      <c r="I226" s="140">
        <v>0</v>
      </c>
      <c r="J226" s="140">
        <v>1</v>
      </c>
      <c r="K226" s="140">
        <v>2</v>
      </c>
      <c r="L226" s="137" t="e">
        <f t="shared" si="35"/>
        <v>#DIV/0!</v>
      </c>
    </row>
    <row r="227" spans="1:12" ht="19.5" customHeight="1" hidden="1">
      <c r="A227" s="98" t="s">
        <v>267</v>
      </c>
      <c r="B227" s="70"/>
      <c r="C227" s="70"/>
      <c r="D227" s="73" t="s">
        <v>65</v>
      </c>
      <c r="E227" s="74" t="s">
        <v>32</v>
      </c>
      <c r="F227" s="74" t="s">
        <v>6</v>
      </c>
      <c r="G227" s="74" t="s">
        <v>269</v>
      </c>
      <c r="H227" s="74"/>
      <c r="I227" s="140">
        <f>I228</f>
        <v>0</v>
      </c>
      <c r="J227" s="140">
        <f>J228</f>
        <v>1</v>
      </c>
      <c r="K227" s="140">
        <f>K228</f>
        <v>2</v>
      </c>
      <c r="L227" s="137" t="e">
        <f t="shared" si="35"/>
        <v>#DIV/0!</v>
      </c>
    </row>
    <row r="228" spans="1:12" ht="18" customHeight="1" hidden="1">
      <c r="A228" s="98" t="s">
        <v>248</v>
      </c>
      <c r="B228" s="70"/>
      <c r="C228" s="70"/>
      <c r="D228" s="73" t="s">
        <v>65</v>
      </c>
      <c r="E228" s="74" t="s">
        <v>32</v>
      </c>
      <c r="F228" s="74" t="s">
        <v>6</v>
      </c>
      <c r="G228" s="74" t="s">
        <v>269</v>
      </c>
      <c r="H228" s="74" t="s">
        <v>247</v>
      </c>
      <c r="I228" s="140">
        <v>0</v>
      </c>
      <c r="J228" s="140">
        <v>1</v>
      </c>
      <c r="K228" s="140">
        <v>2</v>
      </c>
      <c r="L228" s="137" t="e">
        <f t="shared" si="35"/>
        <v>#DIV/0!</v>
      </c>
    </row>
    <row r="229" spans="1:12" ht="17.25" customHeight="1">
      <c r="A229" s="84" t="s">
        <v>130</v>
      </c>
      <c r="B229" s="70"/>
      <c r="C229" s="70"/>
      <c r="D229" s="70" t="s">
        <v>65</v>
      </c>
      <c r="E229" s="71" t="s">
        <v>48</v>
      </c>
      <c r="F229" s="71"/>
      <c r="G229" s="71"/>
      <c r="H229" s="71"/>
      <c r="I229" s="139">
        <f>I230+I244</f>
        <v>80.36076</v>
      </c>
      <c r="J229" s="139">
        <f>J230+J244</f>
        <v>81.36076</v>
      </c>
      <c r="K229" s="139">
        <f>K230+K244</f>
        <v>27.457459999999998</v>
      </c>
      <c r="L229" s="137">
        <f t="shared" si="35"/>
        <v>34.16774555143579</v>
      </c>
    </row>
    <row r="230" spans="1:12" ht="15.75" customHeight="1">
      <c r="A230" s="87" t="s">
        <v>37</v>
      </c>
      <c r="B230" s="73"/>
      <c r="C230" s="73"/>
      <c r="D230" s="73" t="s">
        <v>65</v>
      </c>
      <c r="E230" s="74" t="s">
        <v>48</v>
      </c>
      <c r="F230" s="74" t="s">
        <v>6</v>
      </c>
      <c r="G230" s="74"/>
      <c r="H230" s="74"/>
      <c r="I230" s="140">
        <f>I231</f>
        <v>80.36076</v>
      </c>
      <c r="J230" s="140">
        <f aca="true" t="shared" si="40" ref="J230:K233">J231</f>
        <v>80.36076</v>
      </c>
      <c r="K230" s="140">
        <f t="shared" si="40"/>
        <v>27.457459999999998</v>
      </c>
      <c r="L230" s="137">
        <f t="shared" si="35"/>
        <v>34.16774555143579</v>
      </c>
    </row>
    <row r="231" spans="1:12" ht="16.5" customHeight="1">
      <c r="A231" s="87" t="s">
        <v>59</v>
      </c>
      <c r="B231" s="73"/>
      <c r="C231" s="73"/>
      <c r="D231" s="73" t="s">
        <v>65</v>
      </c>
      <c r="E231" s="74" t="s">
        <v>48</v>
      </c>
      <c r="F231" s="74" t="s">
        <v>6</v>
      </c>
      <c r="G231" s="74" t="s">
        <v>201</v>
      </c>
      <c r="H231" s="74"/>
      <c r="I231" s="140">
        <f>I232</f>
        <v>80.36076</v>
      </c>
      <c r="J231" s="140">
        <f t="shared" si="40"/>
        <v>80.36076</v>
      </c>
      <c r="K231" s="140">
        <f t="shared" si="40"/>
        <v>27.457459999999998</v>
      </c>
      <c r="L231" s="137">
        <f t="shared" si="35"/>
        <v>34.16774555143579</v>
      </c>
    </row>
    <row r="232" spans="1:12" ht="22.5">
      <c r="A232" s="82" t="s">
        <v>60</v>
      </c>
      <c r="B232" s="73"/>
      <c r="C232" s="73"/>
      <c r="D232" s="73" t="s">
        <v>65</v>
      </c>
      <c r="E232" s="74" t="s">
        <v>48</v>
      </c>
      <c r="F232" s="74" t="s">
        <v>6</v>
      </c>
      <c r="G232" s="74" t="s">
        <v>202</v>
      </c>
      <c r="H232" s="74"/>
      <c r="I232" s="140">
        <f>I233</f>
        <v>80.36076</v>
      </c>
      <c r="J232" s="140">
        <f t="shared" si="40"/>
        <v>80.36076</v>
      </c>
      <c r="K232" s="140">
        <f t="shared" si="40"/>
        <v>27.457459999999998</v>
      </c>
      <c r="L232" s="137">
        <f t="shared" si="35"/>
        <v>34.16774555143579</v>
      </c>
    </row>
    <row r="233" spans="1:12" ht="18" customHeight="1">
      <c r="A233" s="82" t="s">
        <v>135</v>
      </c>
      <c r="B233" s="73"/>
      <c r="C233" s="73"/>
      <c r="D233" s="73" t="s">
        <v>65</v>
      </c>
      <c r="E233" s="74" t="s">
        <v>48</v>
      </c>
      <c r="F233" s="74" t="s">
        <v>6</v>
      </c>
      <c r="G233" s="74" t="s">
        <v>202</v>
      </c>
      <c r="H233" s="74" t="s">
        <v>134</v>
      </c>
      <c r="I233" s="140">
        <f>I234</f>
        <v>80.36076</v>
      </c>
      <c r="J233" s="140">
        <f t="shared" si="40"/>
        <v>80.36076</v>
      </c>
      <c r="K233" s="140">
        <f t="shared" si="40"/>
        <v>27.457459999999998</v>
      </c>
      <c r="L233" s="137">
        <f t="shared" si="35"/>
        <v>34.16774555143579</v>
      </c>
    </row>
    <row r="234" spans="1:12" ht="16.5" customHeight="1">
      <c r="A234" s="82" t="s">
        <v>221</v>
      </c>
      <c r="B234" s="73"/>
      <c r="C234" s="73"/>
      <c r="D234" s="73" t="s">
        <v>65</v>
      </c>
      <c r="E234" s="74" t="s">
        <v>48</v>
      </c>
      <c r="F234" s="74" t="s">
        <v>6</v>
      </c>
      <c r="G234" s="74" t="s">
        <v>202</v>
      </c>
      <c r="H234" s="74" t="s">
        <v>220</v>
      </c>
      <c r="I234" s="140">
        <f>'[1]1001'!$C$15/1000</f>
        <v>80.36076</v>
      </c>
      <c r="J234" s="140">
        <f>'[1]1001'!$C$15/1000</f>
        <v>80.36076</v>
      </c>
      <c r="K234" s="140">
        <f>27457.46/1000</f>
        <v>27.457459999999998</v>
      </c>
      <c r="L234" s="137">
        <f t="shared" si="35"/>
        <v>34.16774555143579</v>
      </c>
    </row>
    <row r="235" spans="1:12" ht="17.25" customHeight="1">
      <c r="A235" s="87" t="s">
        <v>38</v>
      </c>
      <c r="B235" s="73"/>
      <c r="C235" s="73"/>
      <c r="D235" s="73" t="s">
        <v>65</v>
      </c>
      <c r="E235" s="74" t="s">
        <v>48</v>
      </c>
      <c r="F235" s="74" t="s">
        <v>9</v>
      </c>
      <c r="G235" s="74"/>
      <c r="H235" s="74"/>
      <c r="I235" s="140">
        <f>I236</f>
        <v>62.357</v>
      </c>
      <c r="J235" s="140">
        <f aca="true" t="shared" si="41" ref="J235:K238">J236</f>
        <v>62.357</v>
      </c>
      <c r="K235" s="140">
        <f t="shared" si="41"/>
        <v>62.357</v>
      </c>
      <c r="L235" s="137">
        <f t="shared" si="35"/>
        <v>100</v>
      </c>
    </row>
    <row r="236" spans="1:12" ht="36" customHeight="1">
      <c r="A236" s="87" t="s">
        <v>131</v>
      </c>
      <c r="B236" s="73"/>
      <c r="C236" s="73"/>
      <c r="D236" s="73" t="s">
        <v>65</v>
      </c>
      <c r="E236" s="74" t="s">
        <v>48</v>
      </c>
      <c r="F236" s="74" t="s">
        <v>9</v>
      </c>
      <c r="G236" s="74" t="s">
        <v>138</v>
      </c>
      <c r="H236" s="74"/>
      <c r="I236" s="140">
        <f>I237</f>
        <v>62.357</v>
      </c>
      <c r="J236" s="140">
        <f t="shared" si="41"/>
        <v>62.357</v>
      </c>
      <c r="K236" s="140">
        <f t="shared" si="41"/>
        <v>62.357</v>
      </c>
      <c r="L236" s="137">
        <f t="shared" si="35"/>
        <v>100</v>
      </c>
    </row>
    <row r="237" spans="1:12" ht="33.75" customHeight="1">
      <c r="A237" s="87" t="s">
        <v>74</v>
      </c>
      <c r="B237" s="73"/>
      <c r="C237" s="73"/>
      <c r="D237" s="73" t="s">
        <v>65</v>
      </c>
      <c r="E237" s="74" t="s">
        <v>48</v>
      </c>
      <c r="F237" s="74" t="s">
        <v>9</v>
      </c>
      <c r="G237" s="74" t="s">
        <v>139</v>
      </c>
      <c r="H237" s="74"/>
      <c r="I237" s="140">
        <f>I238</f>
        <v>62.357</v>
      </c>
      <c r="J237" s="140">
        <f t="shared" si="41"/>
        <v>62.357</v>
      </c>
      <c r="K237" s="140">
        <f t="shared" si="41"/>
        <v>62.357</v>
      </c>
      <c r="L237" s="137">
        <f t="shared" si="35"/>
        <v>100</v>
      </c>
    </row>
    <row r="238" spans="1:12" ht="15" customHeight="1">
      <c r="A238" s="82" t="s">
        <v>135</v>
      </c>
      <c r="B238" s="73"/>
      <c r="C238" s="73"/>
      <c r="D238" s="73" t="s">
        <v>65</v>
      </c>
      <c r="E238" s="74" t="s">
        <v>48</v>
      </c>
      <c r="F238" s="74" t="s">
        <v>9</v>
      </c>
      <c r="G238" s="74" t="s">
        <v>139</v>
      </c>
      <c r="H238" s="74" t="s">
        <v>134</v>
      </c>
      <c r="I238" s="140">
        <f>I239</f>
        <v>62.357</v>
      </c>
      <c r="J238" s="140">
        <f t="shared" si="41"/>
        <v>62.357</v>
      </c>
      <c r="K238" s="140">
        <f t="shared" si="41"/>
        <v>62.357</v>
      </c>
      <c r="L238" s="137">
        <f t="shared" si="35"/>
        <v>100</v>
      </c>
    </row>
    <row r="239" spans="1:12" ht="15.75" customHeight="1">
      <c r="A239" s="87" t="s">
        <v>132</v>
      </c>
      <c r="B239" s="73"/>
      <c r="C239" s="73"/>
      <c r="D239" s="73" t="s">
        <v>65</v>
      </c>
      <c r="E239" s="74" t="s">
        <v>48</v>
      </c>
      <c r="F239" s="74" t="s">
        <v>9</v>
      </c>
      <c r="G239" s="74" t="s">
        <v>139</v>
      </c>
      <c r="H239" s="74" t="s">
        <v>133</v>
      </c>
      <c r="I239" s="140">
        <f>62357/1000</f>
        <v>62.357</v>
      </c>
      <c r="J239" s="140">
        <f>62357/1000</f>
        <v>62.357</v>
      </c>
      <c r="K239" s="140">
        <f>62357/1000</f>
        <v>62.357</v>
      </c>
      <c r="L239" s="137">
        <f t="shared" si="35"/>
        <v>100</v>
      </c>
    </row>
    <row r="240" spans="1:12" ht="15.75" customHeight="1" hidden="1">
      <c r="A240" s="87" t="s">
        <v>144</v>
      </c>
      <c r="B240" s="73"/>
      <c r="C240" s="73"/>
      <c r="D240" s="73" t="s">
        <v>65</v>
      </c>
      <c r="E240" s="74" t="s">
        <v>48</v>
      </c>
      <c r="F240" s="74" t="s">
        <v>11</v>
      </c>
      <c r="G240" s="74"/>
      <c r="H240" s="74"/>
      <c r="I240" s="140">
        <f>I241</f>
        <v>0</v>
      </c>
      <c r="J240" s="140">
        <f aca="true" t="shared" si="42" ref="J240:K242">J241</f>
        <v>0</v>
      </c>
      <c r="K240" s="140">
        <f t="shared" si="42"/>
        <v>0</v>
      </c>
      <c r="L240" s="137" t="e">
        <f t="shared" si="35"/>
        <v>#DIV/0!</v>
      </c>
    </row>
    <row r="241" spans="1:12" ht="15.75" customHeight="1" hidden="1">
      <c r="A241" s="87" t="s">
        <v>150</v>
      </c>
      <c r="B241" s="73"/>
      <c r="C241" s="73"/>
      <c r="D241" s="73" t="s">
        <v>65</v>
      </c>
      <c r="E241" s="74" t="s">
        <v>48</v>
      </c>
      <c r="F241" s="74" t="s">
        <v>11</v>
      </c>
      <c r="G241" s="74" t="s">
        <v>148</v>
      </c>
      <c r="H241" s="74"/>
      <c r="I241" s="140">
        <f>I242</f>
        <v>0</v>
      </c>
      <c r="J241" s="140">
        <f t="shared" si="42"/>
        <v>0</v>
      </c>
      <c r="K241" s="140">
        <f t="shared" si="42"/>
        <v>0</v>
      </c>
      <c r="L241" s="137" t="e">
        <f t="shared" si="35"/>
        <v>#DIV/0!</v>
      </c>
    </row>
    <row r="242" spans="1:12" ht="15.75" customHeight="1" hidden="1">
      <c r="A242" s="87" t="s">
        <v>149</v>
      </c>
      <c r="B242" s="73"/>
      <c r="C242" s="73"/>
      <c r="D242" s="73" t="s">
        <v>65</v>
      </c>
      <c r="E242" s="74" t="s">
        <v>48</v>
      </c>
      <c r="F242" s="74" t="s">
        <v>11</v>
      </c>
      <c r="G242" s="74" t="s">
        <v>139</v>
      </c>
      <c r="H242" s="74" t="s">
        <v>146</v>
      </c>
      <c r="I242" s="140">
        <f>I243</f>
        <v>0</v>
      </c>
      <c r="J242" s="140">
        <f t="shared" si="42"/>
        <v>0</v>
      </c>
      <c r="K242" s="140">
        <f t="shared" si="42"/>
        <v>0</v>
      </c>
      <c r="L242" s="137" t="e">
        <f t="shared" si="35"/>
        <v>#DIV/0!</v>
      </c>
    </row>
    <row r="243" spans="1:12" ht="27" customHeight="1" hidden="1">
      <c r="A243" s="87" t="s">
        <v>145</v>
      </c>
      <c r="B243" s="73"/>
      <c r="C243" s="73"/>
      <c r="D243" s="73" t="s">
        <v>65</v>
      </c>
      <c r="E243" s="74" t="s">
        <v>48</v>
      </c>
      <c r="F243" s="74" t="s">
        <v>11</v>
      </c>
      <c r="G243" s="74" t="s">
        <v>139</v>
      </c>
      <c r="H243" s="74" t="s">
        <v>147</v>
      </c>
      <c r="I243" s="140">
        <f>(2505170-1087840-1417330)/1000</f>
        <v>0</v>
      </c>
      <c r="J243" s="140">
        <f>(2505170-1087840-1417330)/1000</f>
        <v>0</v>
      </c>
      <c r="K243" s="140">
        <f>(2505170-1087840-1417330)/1000</f>
        <v>0</v>
      </c>
      <c r="L243" s="137" t="e">
        <f t="shared" si="35"/>
        <v>#DIV/0!</v>
      </c>
    </row>
    <row r="244" spans="1:12" ht="18.75" customHeight="1" hidden="1">
      <c r="A244" s="87" t="s">
        <v>203</v>
      </c>
      <c r="B244" s="73"/>
      <c r="C244" s="73"/>
      <c r="D244" s="73" t="s">
        <v>65</v>
      </c>
      <c r="E244" s="74" t="s">
        <v>48</v>
      </c>
      <c r="F244" s="74" t="s">
        <v>13</v>
      </c>
      <c r="G244" s="74"/>
      <c r="H244" s="74"/>
      <c r="I244" s="140">
        <f>I245</f>
        <v>0</v>
      </c>
      <c r="J244" s="140">
        <f aca="true" t="shared" si="43" ref="J244:K247">J245</f>
        <v>1</v>
      </c>
      <c r="K244" s="140">
        <f t="shared" si="43"/>
        <v>0</v>
      </c>
      <c r="L244" s="137" t="e">
        <f t="shared" si="35"/>
        <v>#DIV/0!</v>
      </c>
    </row>
    <row r="245" spans="1:12" ht="16.5" customHeight="1" hidden="1">
      <c r="A245" s="87" t="s">
        <v>204</v>
      </c>
      <c r="B245" s="73"/>
      <c r="C245" s="73"/>
      <c r="D245" s="73" t="s">
        <v>65</v>
      </c>
      <c r="E245" s="74" t="s">
        <v>48</v>
      </c>
      <c r="F245" s="74" t="s">
        <v>13</v>
      </c>
      <c r="G245" s="74" t="s">
        <v>206</v>
      </c>
      <c r="H245" s="74"/>
      <c r="I245" s="140">
        <f>I246</f>
        <v>0</v>
      </c>
      <c r="J245" s="140">
        <f t="shared" si="43"/>
        <v>1</v>
      </c>
      <c r="K245" s="140">
        <f t="shared" si="43"/>
        <v>0</v>
      </c>
      <c r="L245" s="137" t="e">
        <f t="shared" si="35"/>
        <v>#DIV/0!</v>
      </c>
    </row>
    <row r="246" spans="1:12" ht="17.25" customHeight="1" hidden="1">
      <c r="A246" s="87" t="s">
        <v>205</v>
      </c>
      <c r="B246" s="73"/>
      <c r="C246" s="73"/>
      <c r="D246" s="73" t="s">
        <v>65</v>
      </c>
      <c r="E246" s="74" t="s">
        <v>48</v>
      </c>
      <c r="F246" s="74" t="s">
        <v>13</v>
      </c>
      <c r="G246" s="74" t="s">
        <v>206</v>
      </c>
      <c r="H246" s="74"/>
      <c r="I246" s="140">
        <f>I247</f>
        <v>0</v>
      </c>
      <c r="J246" s="140">
        <f t="shared" si="43"/>
        <v>1</v>
      </c>
      <c r="K246" s="140">
        <f t="shared" si="43"/>
        <v>0</v>
      </c>
      <c r="L246" s="137" t="e">
        <f t="shared" si="35"/>
        <v>#DIV/0!</v>
      </c>
    </row>
    <row r="247" spans="1:12" ht="22.5" customHeight="1" hidden="1">
      <c r="A247" s="110" t="s">
        <v>228</v>
      </c>
      <c r="B247" s="73"/>
      <c r="C247" s="73"/>
      <c r="D247" s="73" t="s">
        <v>65</v>
      </c>
      <c r="E247" s="74" t="s">
        <v>48</v>
      </c>
      <c r="F247" s="74" t="s">
        <v>13</v>
      </c>
      <c r="G247" s="74" t="s">
        <v>206</v>
      </c>
      <c r="H247" s="74" t="s">
        <v>167</v>
      </c>
      <c r="I247" s="140">
        <f>I248</f>
        <v>0</v>
      </c>
      <c r="J247" s="140">
        <f t="shared" si="43"/>
        <v>1</v>
      </c>
      <c r="K247" s="140">
        <f t="shared" si="43"/>
        <v>0</v>
      </c>
      <c r="L247" s="137" t="e">
        <f t="shared" si="35"/>
        <v>#DIV/0!</v>
      </c>
    </row>
    <row r="248" spans="1:12" ht="25.5" customHeight="1" hidden="1">
      <c r="A248" s="82" t="s">
        <v>109</v>
      </c>
      <c r="B248" s="73"/>
      <c r="C248" s="73"/>
      <c r="D248" s="73" t="s">
        <v>65</v>
      </c>
      <c r="E248" s="74" t="s">
        <v>48</v>
      </c>
      <c r="F248" s="74" t="s">
        <v>13</v>
      </c>
      <c r="G248" s="74" t="s">
        <v>206</v>
      </c>
      <c r="H248" s="74" t="s">
        <v>110</v>
      </c>
      <c r="I248" s="140">
        <v>0</v>
      </c>
      <c r="J248" s="140">
        <v>1</v>
      </c>
      <c r="K248" s="140">
        <v>0</v>
      </c>
      <c r="L248" s="137" t="e">
        <f t="shared" si="35"/>
        <v>#DIV/0!</v>
      </c>
    </row>
    <row r="249" spans="1:12" ht="12.75">
      <c r="A249" s="86" t="s">
        <v>73</v>
      </c>
      <c r="B249" s="73"/>
      <c r="C249" s="73"/>
      <c r="D249" s="68" t="s">
        <v>65</v>
      </c>
      <c r="E249" s="67" t="s">
        <v>70</v>
      </c>
      <c r="F249" s="67"/>
      <c r="G249" s="67"/>
      <c r="H249" s="67"/>
      <c r="I249" s="138">
        <f>I250</f>
        <v>300</v>
      </c>
      <c r="J249" s="138">
        <f aca="true" t="shared" si="44" ref="J249:K253">J250</f>
        <v>300</v>
      </c>
      <c r="K249" s="138">
        <f t="shared" si="44"/>
        <v>229.255</v>
      </c>
      <c r="L249" s="137">
        <f t="shared" si="35"/>
        <v>76.41833333333334</v>
      </c>
    </row>
    <row r="250" spans="1:12" ht="16.5" customHeight="1">
      <c r="A250" s="86" t="s">
        <v>72</v>
      </c>
      <c r="B250" s="73"/>
      <c r="C250" s="73"/>
      <c r="D250" s="70" t="s">
        <v>65</v>
      </c>
      <c r="E250" s="71" t="s">
        <v>70</v>
      </c>
      <c r="F250" s="71" t="s">
        <v>8</v>
      </c>
      <c r="G250" s="71"/>
      <c r="H250" s="71"/>
      <c r="I250" s="139">
        <f>I251</f>
        <v>300</v>
      </c>
      <c r="J250" s="139">
        <f t="shared" si="44"/>
        <v>300</v>
      </c>
      <c r="K250" s="139">
        <f t="shared" si="44"/>
        <v>229.255</v>
      </c>
      <c r="L250" s="137">
        <f t="shared" si="35"/>
        <v>76.41833333333334</v>
      </c>
    </row>
    <row r="251" spans="1:12" ht="21.75" customHeight="1">
      <c r="A251" s="87" t="s">
        <v>207</v>
      </c>
      <c r="B251" s="73"/>
      <c r="C251" s="73"/>
      <c r="D251" s="73" t="s">
        <v>65</v>
      </c>
      <c r="E251" s="74" t="s">
        <v>70</v>
      </c>
      <c r="F251" s="74" t="s">
        <v>8</v>
      </c>
      <c r="G251" s="74" t="s">
        <v>208</v>
      </c>
      <c r="H251" s="74"/>
      <c r="I251" s="140">
        <f>I252</f>
        <v>300</v>
      </c>
      <c r="J251" s="140">
        <f t="shared" si="44"/>
        <v>300</v>
      </c>
      <c r="K251" s="140">
        <f t="shared" si="44"/>
        <v>229.255</v>
      </c>
      <c r="L251" s="137">
        <f t="shared" si="35"/>
        <v>76.41833333333334</v>
      </c>
    </row>
    <row r="252" spans="1:12" ht="18.75" customHeight="1">
      <c r="A252" s="87" t="s">
        <v>95</v>
      </c>
      <c r="B252" s="73"/>
      <c r="C252" s="73"/>
      <c r="D252" s="73" t="s">
        <v>65</v>
      </c>
      <c r="E252" s="74" t="s">
        <v>70</v>
      </c>
      <c r="F252" s="74" t="s">
        <v>8</v>
      </c>
      <c r="G252" s="74" t="s">
        <v>209</v>
      </c>
      <c r="H252" s="74"/>
      <c r="I252" s="140">
        <f>I253</f>
        <v>300</v>
      </c>
      <c r="J252" s="140">
        <f t="shared" si="44"/>
        <v>300</v>
      </c>
      <c r="K252" s="140">
        <f t="shared" si="44"/>
        <v>229.255</v>
      </c>
      <c r="L252" s="137">
        <f t="shared" si="35"/>
        <v>76.41833333333334</v>
      </c>
    </row>
    <row r="253" spans="1:12" ht="24" customHeight="1">
      <c r="A253" s="109" t="s">
        <v>228</v>
      </c>
      <c r="B253" s="73"/>
      <c r="C253" s="73"/>
      <c r="D253" s="73" t="s">
        <v>65</v>
      </c>
      <c r="E253" s="74" t="s">
        <v>70</v>
      </c>
      <c r="F253" s="74" t="s">
        <v>8</v>
      </c>
      <c r="G253" s="74" t="s">
        <v>209</v>
      </c>
      <c r="H253" s="74" t="s">
        <v>167</v>
      </c>
      <c r="I253" s="140">
        <f>I254</f>
        <v>300</v>
      </c>
      <c r="J253" s="140">
        <f t="shared" si="44"/>
        <v>300</v>
      </c>
      <c r="K253" s="140">
        <f t="shared" si="44"/>
        <v>229.255</v>
      </c>
      <c r="L253" s="137">
        <f t="shared" si="35"/>
        <v>76.41833333333334</v>
      </c>
    </row>
    <row r="254" spans="1:12" ht="24" customHeight="1">
      <c r="A254" s="82" t="s">
        <v>109</v>
      </c>
      <c r="B254" s="73"/>
      <c r="C254" s="73"/>
      <c r="D254" s="73" t="s">
        <v>65</v>
      </c>
      <c r="E254" s="74" t="s">
        <v>70</v>
      </c>
      <c r="F254" s="74" t="s">
        <v>8</v>
      </c>
      <c r="G254" s="74" t="s">
        <v>209</v>
      </c>
      <c r="H254" s="74" t="s">
        <v>110</v>
      </c>
      <c r="I254" s="140">
        <f>300000/1000</f>
        <v>300</v>
      </c>
      <c r="J254" s="140">
        <f>300000/1000</f>
        <v>300</v>
      </c>
      <c r="K254" s="140">
        <f>229255/1000</f>
        <v>229.255</v>
      </c>
      <c r="L254" s="137">
        <f t="shared" si="35"/>
        <v>76.41833333333334</v>
      </c>
    </row>
    <row r="255" spans="1:12" ht="15">
      <c r="A255" s="90" t="s">
        <v>97</v>
      </c>
      <c r="B255" s="79"/>
      <c r="C255" s="79"/>
      <c r="D255" s="79"/>
      <c r="E255" s="80"/>
      <c r="F255" s="78"/>
      <c r="G255" s="65"/>
      <c r="H255" s="78"/>
      <c r="I255" s="148">
        <f>I16+I101+I112+I134+I192+I229+I249+I92</f>
        <v>46078.610607300005</v>
      </c>
      <c r="J255" s="148">
        <f>J16+J101+J112+J134+J192+J229+J249+J92</f>
        <v>46087.610607300005</v>
      </c>
      <c r="K255" s="148">
        <f>K16+K101+K112+K134+K192+K229+K249+K92</f>
        <v>13422.649619999998</v>
      </c>
      <c r="L255" s="137">
        <f t="shared" si="35"/>
        <v>29.129892249558225</v>
      </c>
    </row>
    <row r="256" spans="1:4" ht="12">
      <c r="A256" s="81"/>
      <c r="B256" s="81"/>
      <c r="C256" s="81"/>
      <c r="D256" s="81"/>
    </row>
    <row r="257" spans="1:4" ht="12">
      <c r="A257" s="81"/>
      <c r="B257" s="81"/>
      <c r="C257" s="81"/>
      <c r="D257" s="81"/>
    </row>
    <row r="258" spans="1:4" ht="12">
      <c r="A258" s="81"/>
      <c r="B258" s="81"/>
      <c r="C258" s="81"/>
      <c r="D258" s="81"/>
    </row>
    <row r="259" spans="1:9" ht="12">
      <c r="A259" s="81"/>
      <c r="B259" s="81"/>
      <c r="C259" s="81"/>
      <c r="D259" s="81"/>
      <c r="E259" s="59"/>
      <c r="G259" s="59"/>
      <c r="I259" s="59"/>
    </row>
    <row r="262" spans="1:9" ht="12">
      <c r="A262" s="144"/>
      <c r="E262" s="59"/>
      <c r="G262" s="59"/>
      <c r="I262" s="59"/>
    </row>
  </sheetData>
  <sheetProtection/>
  <mergeCells count="20">
    <mergeCell ref="L12:L13"/>
    <mergeCell ref="A8:I8"/>
    <mergeCell ref="A9:I9"/>
    <mergeCell ref="A10:I10"/>
    <mergeCell ref="A12:A13"/>
    <mergeCell ref="B12:B13"/>
    <mergeCell ref="C12:C13"/>
    <mergeCell ref="D12:D13"/>
    <mergeCell ref="E12:E13"/>
    <mergeCell ref="F12:F13"/>
    <mergeCell ref="J12:K13"/>
    <mergeCell ref="F1:I1"/>
    <mergeCell ref="F2:I2"/>
    <mergeCell ref="F3:I3"/>
    <mergeCell ref="F4:I4"/>
    <mergeCell ref="A6:I6"/>
    <mergeCell ref="G12:G13"/>
    <mergeCell ref="H12:H13"/>
    <mergeCell ref="I12:I13"/>
    <mergeCell ref="A7:I7"/>
  </mergeCells>
  <printOptions/>
  <pageMargins left="0.9055118110236221" right="0" top="0.3937007874015748" bottom="0.5118110236220472" header="0.3937007874015748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Лоскутова Э. В.</dc:creator>
  <cp:keywords/>
  <dc:description/>
  <cp:lastModifiedBy>Секретарь</cp:lastModifiedBy>
  <cp:lastPrinted>2019-09-02T06:36:37Z</cp:lastPrinted>
  <dcterms:created xsi:type="dcterms:W3CDTF">2005-11-24T20:09:25Z</dcterms:created>
  <dcterms:modified xsi:type="dcterms:W3CDTF">2019-09-02T06:37:10Z</dcterms:modified>
  <cp:category/>
  <cp:version/>
  <cp:contentType/>
  <cp:contentStatus/>
</cp:coreProperties>
</file>