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6855" tabRatio="595" activeTab="1"/>
  </bookViews>
  <sheets>
    <sheet name="прил 5" sheetId="1" r:id="rId1"/>
    <sheet name="прил 6" sheetId="2" r:id="rId2"/>
  </sheets>
  <externalReferences>
    <externalReference r:id="rId5"/>
  </externalReferences>
  <definedNames>
    <definedName name="_xlnm.Print_Area" localSheetId="0">'прил 5'!$A$1:$D$64</definedName>
  </definedNames>
  <calcPr fullCalcOnLoad="1"/>
</workbook>
</file>

<file path=xl/sharedStrings.xml><?xml version="1.0" encoding="utf-8"?>
<sst xmlns="http://schemas.openxmlformats.org/spreadsheetml/2006/main" count="1527" uniqueCount="301">
  <si>
    <t>по разделам, подразделам функциональной классификации</t>
  </si>
  <si>
    <t>расходов бюджетов Российской Федерации</t>
  </si>
  <si>
    <t>Сумма, тыс.рублей</t>
  </si>
  <si>
    <t>Наименование</t>
  </si>
  <si>
    <t>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</si>
  <si>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</si>
  <si>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</si>
  <si>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</si>
  <si>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</si>
  <si>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</si>
  <si>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</si>
  <si>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</si>
  <si>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надзора</t>
  </si>
  <si>
    <t>06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</si>
  <si>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</si>
  <si>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</si>
  <si>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</si>
  <si>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</si>
  <si>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</si>
  <si>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</si>
  <si>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</si>
  <si>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</si>
  <si>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</si>
  <si>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</si>
  <si>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</si>
  <si>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</si>
  <si>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</si>
  <si>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</si>
  <si>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</si>
  <si>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</si>
  <si>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</si>
  <si>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</si>
  <si>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</si>
  <si>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 xml:space="preserve">Культура </t>
  </si>
  <si>
    <t>Другие вопросы в области культуры, кинематографии и средств массовой информации</t>
  </si>
  <si>
    <t>Спорт и физическая культура</t>
  </si>
  <si>
    <t xml:space="preserve">Социальная политика </t>
  </si>
  <si>
    <t>Пенсионное обеспечение</t>
  </si>
  <si>
    <t>Социальное обеспечение населения</t>
  </si>
  <si>
    <t>Меры социальной поддержки граждан</t>
  </si>
  <si>
    <t>Межбюджетные трансферты</t>
  </si>
  <si>
    <t>Финансовая помощь бюджетам других уровней</t>
  </si>
  <si>
    <t>В С Е Г О</t>
  </si>
  <si>
    <t>Целевая статья</t>
  </si>
  <si>
    <t>Проведение выборов и референдумов</t>
  </si>
  <si>
    <t>12</t>
  </si>
  <si>
    <t>Глава</t>
  </si>
  <si>
    <t>Жилищное хозяйство</t>
  </si>
  <si>
    <t>10</t>
  </si>
  <si>
    <t>Культура, кинематография и средства массовой информации</t>
  </si>
  <si>
    <t>Глава муниципального образования</t>
  </si>
  <si>
    <t>Расходы на осуществление государственных полномочий по созданию и функционированию административных комиссий</t>
  </si>
  <si>
    <t>Национальная оборона</t>
  </si>
  <si>
    <t>Мобилизационная и вневойсковая подготовка</t>
  </si>
  <si>
    <t>Благоустройство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</si>
  <si>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</si>
  <si>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</si>
  <si>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выборов главы муниципального образования</t>
  </si>
  <si>
    <t>Обеспечение пожарной безопасности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</si>
  <si>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</si>
  <si>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Федерации, муниципальных служащих</t>
  </si>
  <si>
    <t xml:space="preserve">Национальная экономика  </t>
  </si>
  <si>
    <t>к Решению муниципального Совета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</si>
  <si>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</si>
  <si>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</si>
  <si>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819</t>
  </si>
  <si>
    <t>Подраздел</t>
  </si>
  <si>
    <t>Мероприятия по землеустройству и землепользованию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</si>
  <si>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</si>
  <si>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</si>
  <si>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11</t>
  </si>
  <si>
    <t>13</t>
  </si>
  <si>
    <t>Массовый спорт</t>
  </si>
  <si>
    <t>Физическая культура и спорт</t>
  </si>
  <si>
    <t>Субсидии на компенсацию участникам программы уплаченных процентов по целевым кредитам, не превышающих ставку рефинансирования, установленную ЦБ РФ</t>
  </si>
  <si>
    <t>Дорожное хозяйство (дорожные фонды)</t>
  </si>
  <si>
    <t>глава</t>
  </si>
  <si>
    <t>Раз-дел</t>
  </si>
  <si>
    <t>Под-раз-дел</t>
  </si>
  <si>
    <t>Вид рас-ходов</t>
  </si>
  <si>
    <t>768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</si>
  <si>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</si>
  <si>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органов местного самоуправления и обеспечение их функций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</si>
  <si>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</si>
  <si>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содержание  органов местного самоуправления и обеспечение их функций</t>
  </si>
  <si>
    <t>Обеспечение деятельности органов местного самоуправления</t>
  </si>
  <si>
    <t>Иные бюджетные ассигнования</t>
  </si>
  <si>
    <t>800</t>
  </si>
  <si>
    <t>Осуществление первичного воинского учета</t>
  </si>
  <si>
    <t>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</si>
  <si>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</si>
  <si>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Расходы в области жилищно-коммунального хозяйства</t>
  </si>
  <si>
    <t>Мероприятия  в области жилищного хозяйства</t>
  </si>
  <si>
    <t>Мероприятия  в области коммунального хозяйства</t>
  </si>
  <si>
    <t>Мероприятия в области физической культуры и спорта</t>
  </si>
  <si>
    <t>Культура</t>
  </si>
  <si>
    <t>ВСЕГО</t>
  </si>
  <si>
    <t xml:space="preserve">к Решению муниципального Совета </t>
  </si>
  <si>
    <t>Администрация МО "Савинское"</t>
  </si>
  <si>
    <t>121</t>
  </si>
  <si>
    <t>120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</si>
  <si>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</si>
  <si>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</si>
  <si>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представительного органа муниципального образования</t>
  </si>
  <si>
    <t>Обеспечение функционирования главы муниципального образования</t>
  </si>
  <si>
    <t>123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</si>
  <si>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</si>
  <si>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</si>
  <si>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</si>
  <si>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</si>
  <si>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</si>
  <si>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</si>
  <si>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</si>
  <si>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</si>
  <si>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56 0 0000</t>
  </si>
  <si>
    <t>56 1 0000</t>
  </si>
  <si>
    <t>Специальные расходы</t>
  </si>
  <si>
    <t>880</t>
  </si>
  <si>
    <t>Резервные средства</t>
  </si>
  <si>
    <t>870</t>
  </si>
  <si>
    <t>Депутаты представительного органа муниципального образования</t>
  </si>
  <si>
    <t>Расходы в области национальной экономики</t>
  </si>
  <si>
    <t>Расходы в области коммунального хозяйства</t>
  </si>
  <si>
    <t>Мероприятия  в области уличного освещения</t>
  </si>
  <si>
    <t>Мероприятия в области организации и содержании мест захоронений</t>
  </si>
  <si>
    <t>Расходы в области благоустройства территорий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</si>
  <si>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</si>
  <si>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</si>
  <si>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611</t>
  </si>
  <si>
    <t>Социальная политика</t>
  </si>
  <si>
    <t>Долгосрочная целевая программа Архангельской области"Активизация индивидуального жилищного строительства в Архангельской области"на 2009-2014годы</t>
  </si>
  <si>
    <t>Иные выплаты населению</t>
  </si>
  <si>
    <t>360</t>
  </si>
  <si>
    <t>300</t>
  </si>
  <si>
    <t xml:space="preserve">Социальное обеспечение и иные выплаты населению
</t>
  </si>
  <si>
    <t xml:space="preserve"> "Градостроительное развитие Архангельской области на 2014 год"</t>
  </si>
  <si>
    <t>56 1 9002</t>
  </si>
  <si>
    <t>67 0 0000</t>
  </si>
  <si>
    <t>67 1 9001</t>
  </si>
  <si>
    <t>66 0 0000</t>
  </si>
  <si>
    <t>66 1 9001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</si>
  <si>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</si>
  <si>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Осуществление государственных полномочий в сфере административных правонарушений</t>
  </si>
  <si>
    <t>Охрана семьи и детства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</si>
  <si>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</si>
  <si>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</si>
  <si>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412</t>
  </si>
  <si>
    <t>67 1 9000</t>
  </si>
  <si>
    <t>Бюджетные инвестиции</t>
  </si>
  <si>
    <t>Обеспечение жилыми помещениями</t>
  </si>
  <si>
    <t>Частичное возмещение расходов по предоставлению мер социальной поддержки квалифицированных специалистовучреждений,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</si>
  <si>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Субсидии бюджетным учреждениям на иные цели</t>
  </si>
  <si>
    <t>612</t>
  </si>
  <si>
    <t>Приложение №5</t>
  </si>
  <si>
    <t>Расходы на выплату персоналу государственных(муниципальных) оранов</t>
  </si>
  <si>
    <t>51 0 00 00000</t>
  </si>
  <si>
    <t>51 1 00 00000</t>
  </si>
  <si>
    <t>51 1 00 90010</t>
  </si>
  <si>
    <t>52 0 00 00000</t>
  </si>
  <si>
    <t>52 1 00 00000</t>
  </si>
  <si>
    <t>52 1 00 90010</t>
  </si>
  <si>
    <t xml:space="preserve">Муниципальная программа "Энергосбережение и повышение энергетической эффективности муниципального образования "Савинское" на 2016-2018 годы" </t>
  </si>
  <si>
    <t xml:space="preserve"> Закупка товаров, работ и услуг для обеспечения государственных(муниципальных) нужд</t>
  </si>
  <si>
    <t>Иные закупки товаров, работ и услуг для обеспечения государственных(муниципальных) нужд</t>
  </si>
  <si>
    <t>02 0 00 00000</t>
  </si>
  <si>
    <t>02 0 00 90011</t>
  </si>
  <si>
    <t>200</t>
  </si>
  <si>
    <t>02 0 00 90012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</si>
  <si>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</si>
  <si>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Перечисления другим бюджетам бюджетной системы Российской Федерации</t>
  </si>
  <si>
    <t>55 1 00 90010</t>
  </si>
  <si>
    <t>54 1 00 90010</t>
  </si>
  <si>
    <t>500</t>
  </si>
  <si>
    <t>56 1 00 90010</t>
  </si>
  <si>
    <t>Резервные фонды местных администраций</t>
  </si>
  <si>
    <t>57 1 00 90010</t>
  </si>
  <si>
    <t>Реализация мероприятий по энергосбережению и повышению энергетической эффективности МО "Савинское" (теплоэнергия)</t>
  </si>
  <si>
    <t>Реализация мероприятий по энергосбережению и повышению энергетической эффективности МО "Савинское" (электроснабжение)</t>
  </si>
  <si>
    <t>58 1 00 90010</t>
  </si>
  <si>
    <t>Расходы на обеспечение деятельности исполнительных органов местного самоуправления</t>
  </si>
  <si>
    <t>61 1 00 00000</t>
  </si>
  <si>
    <t>61 1 00 90010</t>
  </si>
  <si>
    <t>Расходы в области обеспечения пожарной безопасности, осуществляемые органами местного самоуправления</t>
  </si>
  <si>
    <t>62 1 00 00000</t>
  </si>
  <si>
    <t>62 1 00 90010</t>
  </si>
  <si>
    <t>Закупка товаров, работ и услуг для обеспечения государственных (муниципальных) нужд</t>
  </si>
  <si>
    <t>01 0 00 00000</t>
  </si>
  <si>
    <t>01 0 00 90011</t>
  </si>
  <si>
    <t xml:space="preserve"> 02 0 00 00000</t>
  </si>
  <si>
    <t xml:space="preserve"> 02 0 00 90012</t>
  </si>
  <si>
    <t>63 1 00 90010</t>
  </si>
  <si>
    <t>Закупка товаров, работ, услуг в целях капитального ремонта государственного (муниципального) имущества</t>
  </si>
  <si>
    <t>243</t>
  </si>
  <si>
    <t>64 0 00 00000</t>
  </si>
  <si>
    <t>64 1 00 90010</t>
  </si>
  <si>
    <t>65 1 00 00000</t>
  </si>
  <si>
    <t>65 1 00 90011</t>
  </si>
  <si>
    <t>65 1 00 90012</t>
  </si>
  <si>
    <t>Мероприятия в области благоустройства территорий</t>
  </si>
  <si>
    <t>65 1 00 90013</t>
  </si>
  <si>
    <t>67 1 00 00000</t>
  </si>
  <si>
    <t>67 1 00 90010</t>
  </si>
  <si>
    <t>Другие вопросы в области социальной политики</t>
  </si>
  <si>
    <t>Расходы в области социальной политики</t>
  </si>
  <si>
    <t>Мероприятия в области социальной политики</t>
  </si>
  <si>
    <t>68 1 00 90010</t>
  </si>
  <si>
    <t>Расходы в области физкультуры и спорта</t>
  </si>
  <si>
    <t>69 1 00 00000</t>
  </si>
  <si>
    <t>69 1 00 90010</t>
  </si>
  <si>
    <t>Предоставление субсидий бюджетным, автономным учреждениям и иным некомерческим организациями</t>
  </si>
  <si>
    <t>Наименование показателя</t>
  </si>
  <si>
    <t>53 1 00 90010</t>
  </si>
  <si>
    <t>66 1 00 90011</t>
  </si>
  <si>
    <t>830</t>
  </si>
  <si>
    <t>Исполнение судебных актов</t>
  </si>
  <si>
    <t>60 1 00 00000</t>
  </si>
  <si>
    <t>60 1 00 90010</t>
  </si>
  <si>
    <t>54 1 00 78680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</si>
  <si>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</si>
  <si>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01 0 00 78120</t>
  </si>
  <si>
    <t>Капитальные вложения в объекты государственной (муниципальной) собственности</t>
  </si>
  <si>
    <t>312</t>
  </si>
  <si>
    <t>Иные пенсии, социальные доплаты к пенсиям</t>
  </si>
  <si>
    <t>59 1 00 51180</t>
  </si>
  <si>
    <t>59 0 00 00000</t>
  </si>
  <si>
    <t>540</t>
  </si>
  <si>
    <t>Иные межбюджетные трансферты</t>
  </si>
  <si>
    <t>Закупка товаров, работ и услуг для обеспечения государственных(муниципальных) нужд</t>
  </si>
  <si>
    <t>Прочая закупка товаров, работ и услуг для обеспечения го сударственных (муниципальных) нужд</t>
  </si>
  <si>
    <t>Расходы на выплату персоналу государственных(муниципальных) органов</t>
  </si>
  <si>
    <t>Расходы на исполнение судебных актов по обращению взыскания на средства бюджета муниципального образования</t>
  </si>
  <si>
    <t>Прочие выплаты по обязательствам муниципального образования</t>
  </si>
  <si>
    <t>70 0 00 00000</t>
  </si>
  <si>
    <t>70 1 00 90010</t>
  </si>
  <si>
    <t>70 1  0090010</t>
  </si>
  <si>
    <t>321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</si>
  <si>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</si>
  <si>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</si>
  <si>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</si>
  <si>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70 1 00 88230</t>
  </si>
  <si>
    <t>Иные межбюджетные трансферты на софинансирование вопросов местного значения</t>
  </si>
  <si>
    <t>70 1  00 88230</t>
  </si>
  <si>
    <t>Мероприятия по капитальному ремонту, ремонту и  содержанию автомобильных дорог, расположенных на территории МО "Савинское"</t>
  </si>
  <si>
    <t>01 0 00 90012</t>
  </si>
  <si>
    <t>110</t>
  </si>
  <si>
    <t>Расходы на выплату персоналу казенных учреждений</t>
  </si>
  <si>
    <t>63 1 00 90000</t>
  </si>
  <si>
    <t>Расходы  в области жилищного хозяйства</t>
  </si>
  <si>
    <t>03 0 00 90010</t>
  </si>
  <si>
    <t>04 0 00 90010</t>
  </si>
  <si>
    <t>Непрограммные мероприятия в области благоустройства</t>
  </si>
  <si>
    <t>Муниципальная программа МО "Савинское" "Развитие культуры муниципального образования "Савинское" на 2018-2020 годы"</t>
  </si>
  <si>
    <t>05 0 00 00000</t>
  </si>
  <si>
    <t>05 0 00 90011</t>
  </si>
  <si>
    <t>Софинансирование в рамках муниципальной программы МО "Савинское" "Развитие культуры муниципального образования "Савинское" на 2018-2020 годы"</t>
  </si>
  <si>
    <t>05 0 00 90012</t>
  </si>
  <si>
    <t>04 0 00 00000</t>
  </si>
  <si>
    <t>Муниципальная программа МО "Савинское" "Повышение эффективности использования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</si>
  <si>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"Повышение эффективности использованимя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</si>
  <si>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"Развитие культуры муниципального образования "Савинское" на 2018-2020 годы"</t>
  </si>
  <si>
    <t>54 1 0078230</t>
  </si>
  <si>
    <t>05 0 00 S8310</t>
  </si>
  <si>
    <t>05 0 00 78240</t>
  </si>
  <si>
    <t>54 1 00 78230</t>
  </si>
  <si>
    <t>Софинансирование вопросов местного значения</t>
  </si>
  <si>
    <t>Повышение средней заработной платы работников муниципальных учреждений культуры в целях реализации Указа Президента РФ от 07 мая 2012 года №597 "О мероприятиях по рекализации государственной социальной политики"</t>
  </si>
  <si>
    <t>05 0 00 78230</t>
  </si>
  <si>
    <t>05 0 00 L4670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</si>
  <si>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50 тысяч человек в рамках муниципальной программы МО «Савинское» «Развитие культуры муниципального образования «Савинское» на 2018-2020 годы».</t>
  </si>
  <si>
    <t>831</t>
  </si>
  <si>
    <t>Перечисление другим бюджетам бюджетной системы Российской Федерации</t>
  </si>
  <si>
    <t>71 1 00 00000</t>
  </si>
  <si>
    <t xml:space="preserve">71 1 00 S3670 </t>
  </si>
  <si>
    <t>Софинансирование части дополнительных расходов на повышение минимального размера оплаты труда</t>
  </si>
  <si>
    <t>72 1 00 L4670</t>
  </si>
  <si>
    <t>54 1 00 S8080</t>
  </si>
  <si>
    <t>05 0 00 90010</t>
  </si>
  <si>
    <t>Приложение № 6</t>
  </si>
  <si>
    <t>03 0 F2 55550</t>
  </si>
  <si>
    <t>03 0 00 00000</t>
  </si>
  <si>
    <t>Муниципальная программа МО "Савинское" "Энергосбережение и повышение энергетической эффективности муниципального образования "Савинское" на 2019-2021 годы"</t>
  </si>
  <si>
    <t>% исполнения</t>
  </si>
  <si>
    <t>Распределение расходов бюджета МО "Савинское" на 2020 год</t>
  </si>
  <si>
    <t>ВЕДОМСТВЕННАЯ СТРУКТУРА РАСХОДОВ БЮДЖЕТА                                                                                                        МУНИЦИПАЛЬНОГО ОБРАЗОВАНИЯ "САВИНСКОЕ" НА 2020 ГОД</t>
  </si>
  <si>
    <t>Муниципальная программа МО "Савинское" "Развитие дорожной сети муниципального образования "Савинское" на 2019-2021 годы"</t>
  </si>
  <si>
    <t>Муниципальная программа МО "Савинское" "Повышение безопасности дорожного движения муниципального образования "Савинское" на 2019-2021 годы"</t>
  </si>
  <si>
    <t>Реализация  муниципальной программы "Охрана окружающей среды и обеспечение экологической безопасности населения муниципального образования "Савинское" на 2019-2021 годы"</t>
  </si>
  <si>
    <t>07 0 00 00000</t>
  </si>
  <si>
    <t>Мероприятия в сфере обращения с отходами производства и потребления, в том числе с твердыми коммунальными отходами (приобретение контейнеров)</t>
  </si>
  <si>
    <t>07 0 00 S6740</t>
  </si>
  <si>
    <t>Иные межбюджетные трансферты на исполнение полномочий по софинансированию мероприятий в сфере обращения с отходами производства и потребления, в том числе с твердыми коммунальными отходами (приобретение контейнеров)</t>
  </si>
  <si>
    <t>Мероприятия в сфере обращения с отходами производства и потребления, в том числе с твердыми коммунальными отходами (содержание мест (площадок) накопления твердых коммунальных отходов)</t>
  </si>
  <si>
    <t>07 0 00 S6650</t>
  </si>
  <si>
    <t>Иные межбюджетные трансферты на исполнение полномочий по софинансированию мероприятий в сфере обращения с отходами производства и потребления, в том числе с твердыми коммунальными отходами (содержание мест (площадок) накопления твердых коммунальных отходов)</t>
  </si>
  <si>
    <t>Реализация  мероприятий по муниципальной программе МО "Савинское" "Формирование современной городской среды муниципального образования "Савинское" на 2018-2024 годы"(софинансирование на мероприятия)</t>
  </si>
  <si>
    <t>Реализация  мероприятий по муниципальной программе МО "Савинское" "Формирование современной городской среды муниципального образования "Савинское" на 2018-2022 годы"(областной бюджет)</t>
  </si>
  <si>
    <t>03 0 00 S3670</t>
  </si>
  <si>
    <t xml:space="preserve">71 1 00 L5550 </t>
  </si>
  <si>
    <t>Сумма тыс. руб.</t>
  </si>
  <si>
    <t>Исполненно, тыс.руб</t>
  </si>
  <si>
    <t>МО"Савинское"от 12 мая 2020 № 233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</si>
</sst>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_р_._-;\-* #,##0.00_р_._-;_-* &quot;-&quot;?_р_._-;_-@_-"/>
    <numFmt numFmtId="178" formatCode="#,##0.00000_ ;\-#,##0.00000\ 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#,##0.0000_ ;\-#,##0.0000\ "/>
    <numFmt numFmtId="183" formatCode="#,##0.000_ ;\-#,##0.000\ "/>
    <numFmt numFmtId="184" formatCode="0.00000"/>
    <numFmt numFmtId="185" formatCode="_-* #,##0.000_р_._-;\-* #,##0.000_р_._-;_-* &quot;-&quot;?_р_._-;_-@_-"/>
    <numFmt numFmtId="186" formatCode="_-* #,##0.0000_р_._-;\-* #,##0.0000_р_._-;_-* &quot;-&quot;?_р_._-;_-@_-"/>
    <numFmt numFmtId="187" formatCode="_-* #,##0.00000_р_._-;\-* #,##0.00000_р_._-;_-* &quot;-&quot;?_р_._-;_-@_-"/>
    <numFmt numFmtId="188" formatCode="_-* #,##0.000_р_._-;\-* #,##0.000_р_._-;_-* &quot;-&quot;???_р_._-;_-@_-"/>
    <numFmt numFmtId="189" formatCode="_-* #,##0.00000_р_._-;\-* #,##0.00000_р_._-;_-* &quot;-&quot;?????_р_._-;_-@_-"/>
    <numFmt numFmtId="190" formatCode="0.0000"/>
    <numFmt numFmtId="191" formatCode="0.000"/>
    <numFmt numFmtId="192" formatCode="_-* #,##0.000000_р_._-;\-* #,##0.000000_р_._-;_-* &quot;-&quot;??_р_._-;_-@_-"/>
    <numFmt numFmtId="193" formatCode="#,##0.00_ ;\-#,##0.00\ "/>
    <numFmt numFmtId="194" formatCode="#,##0.0_ ;\-#,##0.0\ "/>
    <numFmt numFmtId="195" formatCode="#,##0_ ;\-#,##0\ 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_-* #,##0.0\ _₽_-;\-* #,##0.0\ _₽_-;_-* &quot;-&quot;?\ _₽_-;_-@_-"/>
  </numFmts>
  <fonts count="53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A0A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6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2" fillId="0" borderId="1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49" fontId="2" fillId="0" borderId="12" xfId="0" applyNumberFormat="1" applyFont="1" applyBorder="1" applyAlignment="1" quotePrefix="1">
      <alignment horizontal="center"/>
    </xf>
    <xf numFmtId="0" fontId="5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2" fillId="0" borderId="14" xfId="0" applyFont="1" applyBorder="1" applyAlignment="1" quotePrefix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NumberFormat="1" applyFont="1" applyFill="1" applyBorder="1" applyAlignment="1">
      <alignment horizontal="justify" wrapText="1"/>
    </xf>
    <xf numFmtId="0" fontId="5" fillId="0" borderId="11" xfId="60" applyNumberFormat="1" applyFont="1" applyFill="1" applyBorder="1" applyAlignment="1">
      <alignment horizontal="justify" wrapText="1"/>
    </xf>
    <xf numFmtId="0" fontId="4" fillId="0" borderId="11" xfId="60" applyNumberFormat="1" applyFont="1" applyFill="1" applyBorder="1" applyAlignment="1">
      <alignment horizontal="center"/>
    </xf>
    <xf numFmtId="0" fontId="2" fillId="0" borderId="10" xfId="60" applyNumberFormat="1" applyFont="1" applyFill="1" applyBorder="1" applyAlignment="1">
      <alignment horizontal="justify" wrapText="1"/>
    </xf>
    <xf numFmtId="0" fontId="2" fillId="0" borderId="10" xfId="60" applyNumberFormat="1" applyFont="1" applyFill="1" applyBorder="1" applyAlignment="1">
      <alignment horizontal="center"/>
    </xf>
    <xf numFmtId="0" fontId="5" fillId="0" borderId="10" xfId="60" applyNumberFormat="1" applyFont="1" applyFill="1" applyBorder="1" applyAlignment="1">
      <alignment horizontal="justify" wrapText="1"/>
    </xf>
    <xf numFmtId="0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172" fontId="1" fillId="0" borderId="0" xfId="6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15" xfId="0" applyNumberFormat="1" applyFont="1" applyFill="1" applyBorder="1" applyAlignment="1" quotePrefix="1">
      <alignment horizontal="center"/>
    </xf>
    <xf numFmtId="49" fontId="2" fillId="0" borderId="11" xfId="0" applyNumberFormat="1" applyFont="1" applyFill="1" applyBorder="1" applyAlignment="1" quotePrefix="1">
      <alignment horizontal="center"/>
    </xf>
    <xf numFmtId="49" fontId="4" fillId="0" borderId="11" xfId="60" applyNumberFormat="1" applyFont="1" applyBorder="1" applyAlignment="1">
      <alignment horizontal="center"/>
    </xf>
    <xf numFmtId="49" fontId="2" fillId="0" borderId="11" xfId="60" applyNumberFormat="1" applyFont="1" applyBorder="1" applyAlignment="1" quotePrefix="1">
      <alignment horizontal="center"/>
    </xf>
    <xf numFmtId="49" fontId="2" fillId="0" borderId="10" xfId="60" applyNumberFormat="1" applyFont="1" applyBorder="1" applyAlignment="1" quotePrefix="1">
      <alignment horizontal="center"/>
    </xf>
    <xf numFmtId="49" fontId="2" fillId="0" borderId="11" xfId="6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wrapText="1"/>
    </xf>
    <xf numFmtId="172" fontId="2" fillId="0" borderId="10" xfId="60" applyNumberFormat="1" applyFont="1" applyBorder="1" applyAlignment="1">
      <alignment/>
    </xf>
    <xf numFmtId="172" fontId="2" fillId="0" borderId="11" xfId="60" applyNumberFormat="1" applyFon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1" fillId="0" borderId="10" xfId="60" applyNumberFormat="1" applyFont="1" applyFill="1" applyBorder="1" applyAlignment="1">
      <alignment horizontal="justify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171" fontId="2" fillId="0" borderId="10" xfId="60" applyNumberFormat="1" applyFont="1" applyBorder="1" applyAlignment="1">
      <alignment/>
    </xf>
    <xf numFmtId="49" fontId="1" fillId="0" borderId="0" xfId="0" applyNumberFormat="1" applyFont="1" applyAlignment="1">
      <alignment horizontal="left" wrapText="1"/>
    </xf>
    <xf numFmtId="192" fontId="6" fillId="0" borderId="0" xfId="60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3" fontId="16" fillId="33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/>
    </xf>
    <xf numFmtId="49" fontId="15" fillId="34" borderId="11" xfId="0" applyNumberFormat="1" applyFont="1" applyFill="1" applyBorder="1" applyAlignment="1">
      <alignment vertical="center" wrapText="1"/>
    </xf>
    <xf numFmtId="49" fontId="15" fillId="33" borderId="11" xfId="0" applyNumberFormat="1" applyFont="1" applyFill="1" applyBorder="1" applyAlignment="1">
      <alignment horizontal="center" wrapText="1"/>
    </xf>
    <xf numFmtId="49" fontId="15" fillId="33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horizontal="left" vertical="center" wrapText="1"/>
    </xf>
    <xf numFmtId="0" fontId="16" fillId="34" borderId="11" xfId="0" applyNumberFormat="1" applyFont="1" applyFill="1" applyBorder="1" applyAlignment="1">
      <alignment vertical="center" wrapText="1"/>
    </xf>
    <xf numFmtId="0" fontId="16" fillId="35" borderId="11" xfId="0" applyFont="1" applyFill="1" applyBorder="1" applyAlignment="1">
      <alignment wrapText="1"/>
    </xf>
    <xf numFmtId="49" fontId="16" fillId="34" borderId="11" xfId="0" applyNumberFormat="1" applyFont="1" applyFill="1" applyBorder="1" applyAlignment="1">
      <alignment vertical="center" wrapText="1"/>
    </xf>
    <xf numFmtId="0" fontId="16" fillId="35" borderId="11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wrapText="1"/>
    </xf>
    <xf numFmtId="0" fontId="17" fillId="34" borderId="11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wrapText="1"/>
    </xf>
    <xf numFmtId="0" fontId="16" fillId="34" borderId="11" xfId="0" applyNumberFormat="1" applyFont="1" applyFill="1" applyBorder="1" applyAlignment="1">
      <alignment wrapText="1"/>
    </xf>
    <xf numFmtId="0" fontId="16" fillId="34" borderId="11" xfId="0" applyFont="1" applyFill="1" applyBorder="1" applyAlignment="1">
      <alignment/>
    </xf>
    <xf numFmtId="0" fontId="52" fillId="0" borderId="0" xfId="0" applyFont="1" applyAlignment="1">
      <alignment/>
    </xf>
    <xf numFmtId="49" fontId="16" fillId="34" borderId="11" xfId="0" applyNumberFormat="1" applyFont="1" applyFill="1" applyBorder="1" applyAlignment="1">
      <alignment horizontal="center" wrapText="1"/>
    </xf>
    <xf numFmtId="49" fontId="16" fillId="34" borderId="11" xfId="0" applyNumberFormat="1" applyFont="1" applyFill="1" applyBorder="1" applyAlignment="1">
      <alignment horizontal="center"/>
    </xf>
    <xf numFmtId="49" fontId="16" fillId="34" borderId="11" xfId="0" applyNumberFormat="1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left" vertical="center" wrapText="1"/>
    </xf>
    <xf numFmtId="11" fontId="15" fillId="0" borderId="11" xfId="0" applyNumberFormat="1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top" wrapText="1"/>
    </xf>
    <xf numFmtId="0" fontId="16" fillId="35" borderId="11" xfId="0" applyFont="1" applyFill="1" applyBorder="1" applyAlignment="1">
      <alignment vertical="top" wrapText="1"/>
    </xf>
    <xf numFmtId="0" fontId="16" fillId="35" borderId="11" xfId="0" applyFont="1" applyFill="1" applyBorder="1" applyAlignment="1">
      <alignment horizontal="left" vertical="top" wrapText="1"/>
    </xf>
    <xf numFmtId="0" fontId="15" fillId="36" borderId="11" xfId="0" applyFont="1" applyFill="1" applyBorder="1" applyAlignment="1">
      <alignment wrapText="1"/>
    </xf>
    <xf numFmtId="49" fontId="16" fillId="33" borderId="11" xfId="0" applyNumberFormat="1" applyFont="1" applyFill="1" applyBorder="1" applyAlignment="1">
      <alignment horizontal="center"/>
    </xf>
    <xf numFmtId="0" fontId="16" fillId="36" borderId="11" xfId="0" applyFont="1" applyFill="1" applyBorder="1" applyAlignment="1">
      <alignment wrapText="1"/>
    </xf>
    <xf numFmtId="49" fontId="16" fillId="33" borderId="11" xfId="0" applyNumberFormat="1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justify"/>
    </xf>
    <xf numFmtId="49" fontId="16" fillId="33" borderId="11" xfId="0" applyNumberFormat="1" applyFont="1" applyFill="1" applyBorder="1" applyAlignment="1">
      <alignment vertical="center" wrapText="1"/>
    </xf>
    <xf numFmtId="0" fontId="16" fillId="36" borderId="11" xfId="0" applyFont="1" applyFill="1" applyBorder="1" applyAlignment="1">
      <alignment vertical="top" wrapText="1"/>
    </xf>
    <xf numFmtId="0" fontId="15" fillId="33" borderId="11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vertical="center" wrapText="1"/>
    </xf>
    <xf numFmtId="0" fontId="16" fillId="36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wrapText="1"/>
    </xf>
    <xf numFmtId="0" fontId="16" fillId="36" borderId="11" xfId="0" applyFont="1" applyFill="1" applyBorder="1" applyAlignment="1">
      <alignment vertical="center" wrapText="1"/>
    </xf>
    <xf numFmtId="196" fontId="12" fillId="33" borderId="0" xfId="0" applyNumberFormat="1" applyFont="1" applyFill="1" applyAlignment="1">
      <alignment horizontal="left"/>
    </xf>
    <xf numFmtId="196" fontId="9" fillId="33" borderId="0" xfId="0" applyNumberFormat="1" applyFont="1" applyFill="1" applyAlignment="1">
      <alignment horizontal="center"/>
    </xf>
    <xf numFmtId="196" fontId="9" fillId="33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172" fontId="15" fillId="33" borderId="11" xfId="60" applyNumberFormat="1" applyFont="1" applyFill="1" applyBorder="1" applyAlignment="1">
      <alignment horizontal="right"/>
    </xf>
    <xf numFmtId="172" fontId="9" fillId="0" borderId="0" xfId="60" applyNumberFormat="1" applyFont="1" applyFill="1" applyAlignment="1">
      <alignment horizontal="right"/>
    </xf>
    <xf numFmtId="172" fontId="15" fillId="0" borderId="11" xfId="60" applyNumberFormat="1" applyFont="1" applyFill="1" applyBorder="1" applyAlignment="1">
      <alignment horizontal="right"/>
    </xf>
    <xf numFmtId="172" fontId="16" fillId="0" borderId="11" xfId="60" applyNumberFormat="1" applyFont="1" applyFill="1" applyBorder="1" applyAlignment="1">
      <alignment horizontal="right"/>
    </xf>
    <xf numFmtId="172" fontId="16" fillId="33" borderId="11" xfId="60" applyNumberFormat="1" applyFont="1" applyFill="1" applyBorder="1" applyAlignment="1">
      <alignment horizontal="right"/>
    </xf>
    <xf numFmtId="172" fontId="16" fillId="0" borderId="0" xfId="60" applyNumberFormat="1" applyFont="1" applyFill="1" applyAlignment="1">
      <alignment horizontal="right"/>
    </xf>
    <xf numFmtId="0" fontId="16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96" fontId="16" fillId="33" borderId="0" xfId="0" applyNumberFormat="1" applyFont="1" applyFill="1" applyAlignment="1">
      <alignment/>
    </xf>
    <xf numFmtId="0" fontId="15" fillId="0" borderId="11" xfId="0" applyFont="1" applyFill="1" applyBorder="1" applyAlignment="1">
      <alignment vertical="center" wrapText="1"/>
    </xf>
    <xf numFmtId="172" fontId="16" fillId="0" borderId="11" xfId="60" applyNumberFormat="1" applyFont="1" applyFill="1" applyBorder="1" applyAlignment="1">
      <alignment horizontal="center"/>
    </xf>
    <xf numFmtId="172" fontId="15" fillId="0" borderId="11" xfId="60" applyNumberFormat="1" applyFont="1" applyFill="1" applyBorder="1" applyAlignment="1">
      <alignment horizontal="center"/>
    </xf>
    <xf numFmtId="171" fontId="15" fillId="0" borderId="11" xfId="60" applyNumberFormat="1" applyFont="1" applyFill="1" applyBorder="1" applyAlignment="1">
      <alignment horizontal="right"/>
    </xf>
    <xf numFmtId="171" fontId="15" fillId="0" borderId="11" xfId="60" applyNumberFormat="1" applyFont="1" applyFill="1" applyBorder="1" applyAlignment="1">
      <alignment horizontal="center"/>
    </xf>
    <xf numFmtId="172" fontId="2" fillId="0" borderId="11" xfId="60" applyNumberFormat="1" applyFont="1" applyFill="1" applyBorder="1" applyAlignment="1">
      <alignment/>
    </xf>
    <xf numFmtId="172" fontId="2" fillId="0" borderId="10" xfId="60" applyNumberFormat="1" applyFont="1" applyFill="1" applyBorder="1" applyAlignment="1">
      <alignment/>
    </xf>
    <xf numFmtId="172" fontId="2" fillId="0" borderId="15" xfId="60" applyNumberFormat="1" applyFont="1" applyBorder="1" applyAlignment="1">
      <alignment/>
    </xf>
    <xf numFmtId="172" fontId="5" fillId="0" borderId="10" xfId="60" applyNumberFormat="1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196" fontId="15" fillId="33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user_files\my_desktop\&#1044;&#1088;&#1072;&#1075;&#1072;&#1085;&#1095;&#1091;&#1082;%20&#1052;.&#1040;\&#1041;&#1070;&#1044;&#1046;&#1045;&#1058;\2020\&#1056;&#1077;&#1096;&#1077;&#1085;&#1080;&#1077;%20221%20&#1086;&#1090;%2030.01.2020%20&#1075;\&#1056;&#1077;&#1096;&#1077;&#1085;&#1080;&#1077;%20221%20&#1086;&#1090;%2030.01.2020\&#1088;&#1072;&#1089;&#1096;&#1080;&#1092;&#1088;&#1086;&#1074;&#1082;&#1072;%20&#1082;%20&#1089;&#1084;&#1077;&#1090;&#1077;%20&#1088;-&#1076;&#1086;&#1074;%20&#1055;&#1056;&#1054;&#1045;&#1050;&#1058;%20&#1085;&#1072;%20201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"/>
      <sheetName val="0104"/>
      <sheetName val="0106"/>
      <sheetName val="0111"/>
      <sheetName val="0113 (225)"/>
      <sheetName val="0113 (226)"/>
      <sheetName val="0203"/>
      <sheetName val="0309"/>
      <sheetName val="0310"/>
      <sheetName val="0409"/>
      <sheetName val="0412"/>
      <sheetName val="0501"/>
      <sheetName val="0502"/>
      <sheetName val="0503"/>
      <sheetName val="0801 "/>
      <sheetName val="1001"/>
      <sheetName val="1006"/>
      <sheetName val="1102"/>
      <sheetName val="Лист1"/>
    </sheetNames>
    <sheetDataSet>
      <sheetData sheetId="14">
        <row r="70">
          <cell r="D70">
            <v>98890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="90" zoomScaleNormal="85" zoomScaleSheetLayoutView="90" zoomScalePageLayoutView="0" workbookViewId="0" topLeftCell="A27">
      <selection activeCell="F11" sqref="F11"/>
    </sheetView>
  </sheetViews>
  <sheetFormatPr defaultColWidth="9.00390625" defaultRowHeight="12.75"/>
  <cols>
    <col min="1" max="1" width="51.125" style="0" customWidth="1"/>
    <col min="2" max="2" width="6.375" style="0" customWidth="1"/>
    <col min="3" max="3" width="9.75390625" style="0" customWidth="1"/>
    <col min="4" max="4" width="25.00390625" style="0" customWidth="1"/>
    <col min="5" max="5" width="24.625" style="0" customWidth="1"/>
  </cols>
  <sheetData>
    <row r="1" spans="3:4" ht="15">
      <c r="C1" s="64" t="s">
        <v>153</v>
      </c>
      <c r="D1" s="64"/>
    </row>
    <row r="2" spans="3:4" ht="15">
      <c r="C2" s="65" t="s">
        <v>62</v>
      </c>
      <c r="D2" s="65"/>
    </row>
    <row r="3" spans="1:5" ht="15">
      <c r="A3" s="1"/>
      <c r="B3" s="2"/>
      <c r="C3" s="66" t="s">
        <v>300</v>
      </c>
      <c r="D3" s="66"/>
      <c r="E3" s="36"/>
    </row>
    <row r="4" spans="1:5" ht="9" customHeight="1">
      <c r="A4" s="3"/>
      <c r="B4" s="4"/>
      <c r="C4" s="148"/>
      <c r="D4" s="148"/>
      <c r="E4" s="36"/>
    </row>
    <row r="5" spans="1:5" ht="6.75" customHeight="1">
      <c r="A5" s="3"/>
      <c r="B5" s="4"/>
      <c r="C5" s="148"/>
      <c r="D5" s="148"/>
      <c r="E5" s="36"/>
    </row>
    <row r="6" spans="1:5" ht="6.75" customHeight="1">
      <c r="A6" s="3"/>
      <c r="B6" s="4"/>
      <c r="C6" s="4"/>
      <c r="D6" s="68"/>
      <c r="E6" s="36"/>
    </row>
    <row r="7" spans="1:5" ht="6.75" customHeight="1">
      <c r="A7" s="3"/>
      <c r="B7" s="4"/>
      <c r="C7" s="4"/>
      <c r="D7" s="68"/>
      <c r="E7" s="36"/>
    </row>
    <row r="8" spans="1:5" ht="5.25" customHeight="1">
      <c r="A8" s="3"/>
      <c r="B8" s="4"/>
      <c r="C8" s="4"/>
      <c r="D8" s="36"/>
      <c r="E8" s="36"/>
    </row>
    <row r="9" spans="1:4" ht="14.25">
      <c r="A9" s="150" t="s">
        <v>282</v>
      </c>
      <c r="B9" s="150"/>
      <c r="C9" s="150"/>
      <c r="D9" s="150"/>
    </row>
    <row r="10" spans="1:4" ht="14.25">
      <c r="A10" s="150" t="s">
        <v>0</v>
      </c>
      <c r="B10" s="150"/>
      <c r="C10" s="150"/>
      <c r="D10" s="150"/>
    </row>
    <row r="11" spans="1:4" ht="14.25">
      <c r="A11" s="150" t="s">
        <v>1</v>
      </c>
      <c r="B11" s="150"/>
      <c r="C11" s="150"/>
      <c r="D11" s="150"/>
    </row>
    <row r="12" spans="1:3" ht="15" hidden="1">
      <c r="A12" s="5"/>
      <c r="B12" s="6"/>
      <c r="C12" s="6"/>
    </row>
    <row r="13" spans="1:5" ht="9" customHeight="1">
      <c r="A13" s="142" t="s">
        <v>3</v>
      </c>
      <c r="B13" s="145" t="s">
        <v>4</v>
      </c>
      <c r="C13" s="145" t="s">
        <v>66</v>
      </c>
      <c r="D13" s="142" t="s">
        <v>2</v>
      </c>
      <c r="E13" s="149"/>
    </row>
    <row r="14" spans="1:5" ht="6.75" customHeight="1">
      <c r="A14" s="143"/>
      <c r="B14" s="146"/>
      <c r="C14" s="146"/>
      <c r="D14" s="143"/>
      <c r="E14" s="149"/>
    </row>
    <row r="15" spans="1:5" ht="6" customHeight="1">
      <c r="A15" s="143"/>
      <c r="B15" s="146"/>
      <c r="C15" s="146"/>
      <c r="D15" s="143"/>
      <c r="E15" s="149"/>
    </row>
    <row r="16" spans="1:5" ht="6" customHeight="1">
      <c r="A16" s="144"/>
      <c r="B16" s="147"/>
      <c r="C16" s="147"/>
      <c r="D16" s="144"/>
      <c r="E16" s="149"/>
    </row>
    <row r="17" spans="1:5" ht="12.75" hidden="1">
      <c r="A17" s="8">
        <v>1</v>
      </c>
      <c r="B17" s="9">
        <v>2</v>
      </c>
      <c r="C17" s="9">
        <v>3</v>
      </c>
      <c r="D17" s="10">
        <v>4</v>
      </c>
      <c r="E17" s="33"/>
    </row>
    <row r="18" spans="1:5" ht="18" customHeight="1">
      <c r="A18" s="11" t="s">
        <v>5</v>
      </c>
      <c r="B18" s="12" t="s">
        <v>6</v>
      </c>
      <c r="C18" s="38" t="s">
        <v>55</v>
      </c>
      <c r="D18" s="67">
        <f>D19+D22+D23+D27+D28</f>
        <v>1300.7494</v>
      </c>
      <c r="E18" s="34"/>
    </row>
    <row r="19" spans="1:5" ht="33" customHeight="1">
      <c r="A19" s="53" t="s">
        <v>7</v>
      </c>
      <c r="B19" s="13" t="s">
        <v>6</v>
      </c>
      <c r="C19" s="42" t="s">
        <v>8</v>
      </c>
      <c r="D19" s="55">
        <f>'прил 6'!K17</f>
        <v>193.28743</v>
      </c>
      <c r="E19" s="35"/>
    </row>
    <row r="20" spans="1:5" ht="39.75" customHeight="1" hidden="1">
      <c r="A20" s="7" t="s">
        <v>64</v>
      </c>
      <c r="B20" s="13" t="s">
        <v>6</v>
      </c>
      <c r="C20" s="42" t="s">
        <v>9</v>
      </c>
      <c r="D20" s="54" t="e">
        <f>'прил 6'!#REF!</f>
        <v>#REF!</v>
      </c>
      <c r="E20" s="35"/>
    </row>
    <row r="21" spans="1:5" ht="37.5" customHeight="1" hidden="1">
      <c r="A21" s="7" t="s">
        <v>7</v>
      </c>
      <c r="B21" s="37" t="s">
        <v>6</v>
      </c>
      <c r="C21" s="38" t="s">
        <v>8</v>
      </c>
      <c r="D21" s="54"/>
      <c r="E21" s="35"/>
    </row>
    <row r="22" spans="1:5" ht="40.5" customHeight="1">
      <c r="A22" s="7" t="s">
        <v>10</v>
      </c>
      <c r="B22" s="15" t="s">
        <v>6</v>
      </c>
      <c r="C22" s="41" t="s">
        <v>11</v>
      </c>
      <c r="D22" s="54">
        <f>'прил 6'!K30</f>
        <v>1103.4619699999998</v>
      </c>
      <c r="E22" s="35"/>
    </row>
    <row r="23" spans="1:5" ht="28.5" customHeight="1">
      <c r="A23" s="7" t="s">
        <v>12</v>
      </c>
      <c r="B23" s="15" t="s">
        <v>6</v>
      </c>
      <c r="C23" s="41" t="s">
        <v>13</v>
      </c>
      <c r="D23" s="54">
        <f>'прил 6'!K58</f>
        <v>0</v>
      </c>
      <c r="E23" s="35"/>
    </row>
    <row r="24" spans="1:5" ht="22.5" customHeight="1" hidden="1">
      <c r="A24" s="7" t="s">
        <v>14</v>
      </c>
      <c r="B24" s="15" t="s">
        <v>6</v>
      </c>
      <c r="C24" s="41" t="s">
        <v>15</v>
      </c>
      <c r="D24" s="54" t="e">
        <f>'прил 6'!#REF!</f>
        <v>#REF!</v>
      </c>
      <c r="E24" s="35"/>
    </row>
    <row r="25" spans="1:5" ht="12.75" hidden="1">
      <c r="A25" s="7" t="s">
        <v>16</v>
      </c>
      <c r="B25" s="15" t="s">
        <v>6</v>
      </c>
      <c r="C25" s="41">
        <v>12</v>
      </c>
      <c r="D25" s="54">
        <v>0</v>
      </c>
      <c r="E25" s="35"/>
    </row>
    <row r="26" spans="1:5" ht="38.25" hidden="1">
      <c r="A26" s="32" t="s">
        <v>51</v>
      </c>
      <c r="B26" s="37"/>
      <c r="C26" s="38"/>
      <c r="D26" s="54"/>
      <c r="E26" s="35"/>
    </row>
    <row r="27" spans="1:5" ht="20.25" customHeight="1">
      <c r="A27" s="7" t="s">
        <v>17</v>
      </c>
      <c r="B27" s="15" t="s">
        <v>6</v>
      </c>
      <c r="C27" s="38" t="s">
        <v>70</v>
      </c>
      <c r="D27" s="54">
        <f>'прил 6'!K66</f>
        <v>0</v>
      </c>
      <c r="E27" s="35"/>
    </row>
    <row r="28" spans="1:5" ht="19.5" customHeight="1">
      <c r="A28" s="53" t="s">
        <v>18</v>
      </c>
      <c r="B28" s="16" t="s">
        <v>6</v>
      </c>
      <c r="C28" s="40" t="s">
        <v>71</v>
      </c>
      <c r="D28" s="54">
        <f>'прил 6'!K71</f>
        <v>4</v>
      </c>
      <c r="E28" s="35"/>
    </row>
    <row r="29" spans="1:5" ht="16.5" customHeight="1">
      <c r="A29" s="11" t="s">
        <v>52</v>
      </c>
      <c r="B29" s="37" t="s">
        <v>8</v>
      </c>
      <c r="C29" s="41"/>
      <c r="D29" s="54">
        <f>'прил 6'!K85</f>
        <v>51.432640000000006</v>
      </c>
      <c r="E29" s="35"/>
    </row>
    <row r="30" spans="1:5" ht="20.25" customHeight="1">
      <c r="A30" s="7" t="s">
        <v>53</v>
      </c>
      <c r="B30" s="37" t="s">
        <v>8</v>
      </c>
      <c r="C30" s="38" t="s">
        <v>9</v>
      </c>
      <c r="D30" s="54">
        <f>'прил 6'!K86</f>
        <v>51.432640000000006</v>
      </c>
      <c r="E30" s="35"/>
    </row>
    <row r="31" spans="1:5" ht="27" customHeight="1">
      <c r="A31" s="51" t="s">
        <v>19</v>
      </c>
      <c r="B31" s="40" t="s">
        <v>9</v>
      </c>
      <c r="C31" s="40" t="s">
        <v>55</v>
      </c>
      <c r="D31" s="55">
        <f>D32+D33</f>
        <v>0</v>
      </c>
      <c r="E31" s="35"/>
    </row>
    <row r="32" spans="1:5" ht="27" customHeight="1">
      <c r="A32" s="56" t="s">
        <v>69</v>
      </c>
      <c r="B32" s="40" t="s">
        <v>9</v>
      </c>
      <c r="C32" s="40" t="s">
        <v>20</v>
      </c>
      <c r="D32" s="55">
        <f>'прил 6'!K96</f>
        <v>0</v>
      </c>
      <c r="E32" s="35"/>
    </row>
    <row r="33" spans="1:5" ht="20.25" customHeight="1">
      <c r="A33" s="52" t="s">
        <v>58</v>
      </c>
      <c r="B33" s="40" t="s">
        <v>9</v>
      </c>
      <c r="C33" s="40" t="s">
        <v>48</v>
      </c>
      <c r="D33" s="55">
        <f>'прил 6'!K101</f>
        <v>0</v>
      </c>
      <c r="E33" s="35"/>
    </row>
    <row r="34" spans="1:5" ht="20.25" customHeight="1">
      <c r="A34" s="51" t="s">
        <v>61</v>
      </c>
      <c r="B34" s="40" t="s">
        <v>11</v>
      </c>
      <c r="C34" s="40" t="s">
        <v>55</v>
      </c>
      <c r="D34" s="55">
        <f>D35+D36</f>
        <v>761.36</v>
      </c>
      <c r="E34" s="35"/>
    </row>
    <row r="35" spans="1:5" ht="25.5" customHeight="1">
      <c r="A35" s="52" t="s">
        <v>75</v>
      </c>
      <c r="B35" s="40" t="s">
        <v>11</v>
      </c>
      <c r="C35" s="40" t="s">
        <v>20</v>
      </c>
      <c r="D35" s="55">
        <f>'прил 6'!K107</f>
        <v>750.36</v>
      </c>
      <c r="E35" s="35"/>
    </row>
    <row r="36" spans="1:5" ht="19.5" customHeight="1">
      <c r="A36" s="52" t="s">
        <v>22</v>
      </c>
      <c r="B36" s="40" t="s">
        <v>11</v>
      </c>
      <c r="C36" s="40" t="s">
        <v>45</v>
      </c>
      <c r="D36" s="55">
        <f>'прил 6'!K118</f>
        <v>11</v>
      </c>
      <c r="E36" s="35"/>
    </row>
    <row r="37" spans="1:5" ht="19.5" customHeight="1">
      <c r="A37" s="19" t="s">
        <v>23</v>
      </c>
      <c r="B37" s="14" t="s">
        <v>24</v>
      </c>
      <c r="C37" s="40" t="s">
        <v>55</v>
      </c>
      <c r="D37" s="55">
        <f>D38+D39+D46</f>
        <v>2283.33735</v>
      </c>
      <c r="E37" s="34"/>
    </row>
    <row r="38" spans="1:5" ht="18" customHeight="1">
      <c r="A38" s="53" t="s">
        <v>47</v>
      </c>
      <c r="B38" s="14" t="s">
        <v>24</v>
      </c>
      <c r="C38" s="42" t="s">
        <v>6</v>
      </c>
      <c r="D38" s="55">
        <f>'прил 6'!K127</f>
        <v>1399.06646</v>
      </c>
      <c r="E38" s="34"/>
    </row>
    <row r="39" spans="1:5" ht="16.5" customHeight="1">
      <c r="A39" s="18" t="s">
        <v>25</v>
      </c>
      <c r="B39" s="20" t="s">
        <v>24</v>
      </c>
      <c r="C39" s="42" t="s">
        <v>8</v>
      </c>
      <c r="D39" s="138">
        <f>'прил 6'!K141</f>
        <v>32.08677</v>
      </c>
      <c r="E39" s="35"/>
    </row>
    <row r="40" spans="1:5" ht="24" customHeight="1" hidden="1">
      <c r="A40" s="18" t="s">
        <v>26</v>
      </c>
      <c r="B40" s="20" t="s">
        <v>24</v>
      </c>
      <c r="C40" s="42" t="s">
        <v>11</v>
      </c>
      <c r="D40" s="139"/>
      <c r="E40" s="35"/>
    </row>
    <row r="41" spans="1:5" ht="13.5" customHeight="1" hidden="1">
      <c r="A41" s="21" t="s">
        <v>27</v>
      </c>
      <c r="B41" s="14" t="s">
        <v>15</v>
      </c>
      <c r="C41" s="38"/>
      <c r="D41" s="54">
        <f>SUM(D42:D45)</f>
        <v>0</v>
      </c>
      <c r="E41" s="34"/>
    </row>
    <row r="42" spans="1:5" ht="14.25" customHeight="1" hidden="1">
      <c r="A42" s="22" t="s">
        <v>28</v>
      </c>
      <c r="B42" s="14" t="s">
        <v>15</v>
      </c>
      <c r="C42" s="43" t="s">
        <v>6</v>
      </c>
      <c r="D42" s="140">
        <v>0</v>
      </c>
      <c r="E42" s="35"/>
    </row>
    <row r="43" spans="1:5" ht="15" customHeight="1" hidden="1">
      <c r="A43" s="18" t="s">
        <v>29</v>
      </c>
      <c r="B43" s="14" t="s">
        <v>15</v>
      </c>
      <c r="C43" s="44" t="s">
        <v>8</v>
      </c>
      <c r="D43" s="138">
        <v>0</v>
      </c>
      <c r="E43" s="35"/>
    </row>
    <row r="44" spans="1:5" ht="15.75" customHeight="1" hidden="1">
      <c r="A44" s="18" t="s">
        <v>30</v>
      </c>
      <c r="B44" s="14" t="s">
        <v>15</v>
      </c>
      <c r="C44" s="44" t="s">
        <v>15</v>
      </c>
      <c r="D44" s="138"/>
      <c r="E44" s="35"/>
    </row>
    <row r="45" spans="1:5" ht="17.25" customHeight="1" hidden="1">
      <c r="A45" s="18" t="s">
        <v>31</v>
      </c>
      <c r="B45" s="14" t="s">
        <v>15</v>
      </c>
      <c r="C45" s="44" t="s">
        <v>20</v>
      </c>
      <c r="D45" s="138"/>
      <c r="E45" s="35"/>
    </row>
    <row r="46" spans="1:5" ht="18" customHeight="1">
      <c r="A46" s="18" t="s">
        <v>54</v>
      </c>
      <c r="B46" s="20" t="s">
        <v>24</v>
      </c>
      <c r="C46" s="40" t="s">
        <v>9</v>
      </c>
      <c r="D46" s="138">
        <f>'прил 6'!K157</f>
        <v>852.1841199999999</v>
      </c>
      <c r="E46" s="35"/>
    </row>
    <row r="47" spans="1:5" ht="17.25" customHeight="1" hidden="1">
      <c r="A47" s="17" t="s">
        <v>27</v>
      </c>
      <c r="B47" s="50" t="s">
        <v>15</v>
      </c>
      <c r="C47" s="40" t="s">
        <v>55</v>
      </c>
      <c r="D47" s="138" t="e">
        <f>SUM(#REF!)</f>
        <v>#REF!</v>
      </c>
      <c r="E47" s="35"/>
    </row>
    <row r="48" spans="1:5" ht="25.5" customHeight="1">
      <c r="A48" s="17" t="s">
        <v>49</v>
      </c>
      <c r="B48" s="14" t="s">
        <v>32</v>
      </c>
      <c r="C48" s="40" t="s">
        <v>55</v>
      </c>
      <c r="D48" s="55">
        <f>D49</f>
        <v>1908.8397400000001</v>
      </c>
      <c r="E48" s="34"/>
    </row>
    <row r="49" spans="1:5" ht="18.75" customHeight="1">
      <c r="A49" s="18" t="s">
        <v>33</v>
      </c>
      <c r="B49" s="14" t="s">
        <v>32</v>
      </c>
      <c r="C49" s="44" t="s">
        <v>6</v>
      </c>
      <c r="D49" s="55">
        <f>'прил 6'!K197</f>
        <v>1908.8397400000001</v>
      </c>
      <c r="E49" s="35"/>
    </row>
    <row r="50" spans="1:5" ht="24.75" customHeight="1" hidden="1">
      <c r="A50" s="23" t="s">
        <v>34</v>
      </c>
      <c r="B50" s="14" t="s">
        <v>32</v>
      </c>
      <c r="C50" s="44" t="s">
        <v>13</v>
      </c>
      <c r="D50" s="55"/>
      <c r="E50" s="35"/>
    </row>
    <row r="51" spans="1:5" ht="20.25" customHeight="1">
      <c r="A51" s="57" t="s">
        <v>36</v>
      </c>
      <c r="B51" s="38" t="s">
        <v>48</v>
      </c>
      <c r="C51" s="40" t="s">
        <v>55</v>
      </c>
      <c r="D51" s="55">
        <f>D52+D53</f>
        <v>12.65241</v>
      </c>
      <c r="E51" s="35"/>
    </row>
    <row r="52" spans="1:5" ht="24.75" customHeight="1">
      <c r="A52" s="58" t="s">
        <v>37</v>
      </c>
      <c r="B52" s="38" t="s">
        <v>48</v>
      </c>
      <c r="C52" s="44" t="s">
        <v>6</v>
      </c>
      <c r="D52" s="55">
        <f>'прил 6'!K234</f>
        <v>12.65241</v>
      </c>
      <c r="E52" s="35"/>
    </row>
    <row r="53" spans="1:5" ht="24.75" customHeight="1" hidden="1">
      <c r="A53" s="56" t="s">
        <v>202</v>
      </c>
      <c r="B53" s="38" t="s">
        <v>48</v>
      </c>
      <c r="C53" s="39" t="s">
        <v>13</v>
      </c>
      <c r="D53" s="55"/>
      <c r="E53" s="35"/>
    </row>
    <row r="54" spans="1:5" ht="24.75" customHeight="1" hidden="1">
      <c r="A54" s="56" t="s">
        <v>143</v>
      </c>
      <c r="B54" s="38" t="s">
        <v>48</v>
      </c>
      <c r="C54" s="39" t="s">
        <v>11</v>
      </c>
      <c r="D54" s="55" t="e">
        <f>'прил 6'!#REF!</f>
        <v>#REF!</v>
      </c>
      <c r="E54" s="35"/>
    </row>
    <row r="55" spans="1:5" ht="15.75" customHeight="1">
      <c r="A55" s="17" t="s">
        <v>73</v>
      </c>
      <c r="B55" s="14">
        <v>11</v>
      </c>
      <c r="C55" s="40" t="s">
        <v>55</v>
      </c>
      <c r="D55" s="55">
        <f>D56</f>
        <v>131.214</v>
      </c>
      <c r="E55" s="34"/>
    </row>
    <row r="56" spans="1:5" ht="17.25" customHeight="1">
      <c r="A56" s="18" t="s">
        <v>72</v>
      </c>
      <c r="B56" s="14">
        <v>11</v>
      </c>
      <c r="C56" s="39" t="s">
        <v>8</v>
      </c>
      <c r="D56" s="55">
        <f>'прил 6'!K253</f>
        <v>131.214</v>
      </c>
      <c r="E56" s="35"/>
    </row>
    <row r="57" spans="1:5" ht="14.25" customHeight="1" hidden="1">
      <c r="A57" s="24" t="s">
        <v>35</v>
      </c>
      <c r="B57" s="14" t="s">
        <v>20</v>
      </c>
      <c r="C57" s="44" t="s">
        <v>8</v>
      </c>
      <c r="D57" s="55"/>
      <c r="E57" s="35"/>
    </row>
    <row r="58" spans="1:5" ht="16.5" customHeight="1" hidden="1">
      <c r="A58" s="25" t="s">
        <v>36</v>
      </c>
      <c r="B58" s="26">
        <v>10</v>
      </c>
      <c r="C58" s="45" t="s">
        <v>55</v>
      </c>
      <c r="D58" s="55">
        <f>SUM(D59:D61)</f>
        <v>0</v>
      </c>
      <c r="E58" s="34"/>
    </row>
    <row r="59" spans="1:5" ht="15" customHeight="1" hidden="1">
      <c r="A59" s="27" t="s">
        <v>37</v>
      </c>
      <c r="B59" s="28">
        <v>10</v>
      </c>
      <c r="C59" s="46" t="s">
        <v>6</v>
      </c>
      <c r="D59" s="55"/>
      <c r="E59" s="35"/>
    </row>
    <row r="60" spans="1:5" ht="18.75" customHeight="1" hidden="1">
      <c r="A60" s="27" t="s">
        <v>38</v>
      </c>
      <c r="B60" s="28">
        <v>10</v>
      </c>
      <c r="C60" s="46" t="s">
        <v>9</v>
      </c>
      <c r="D60" s="55"/>
      <c r="E60" s="35"/>
    </row>
    <row r="61" spans="1:5" ht="17.25" customHeight="1" hidden="1">
      <c r="A61" s="27" t="s">
        <v>39</v>
      </c>
      <c r="B61" s="28">
        <v>10</v>
      </c>
      <c r="C61" s="46" t="s">
        <v>13</v>
      </c>
      <c r="D61" s="55"/>
      <c r="E61" s="35"/>
    </row>
    <row r="62" spans="1:5" ht="15" customHeight="1" hidden="1">
      <c r="A62" s="29" t="s">
        <v>40</v>
      </c>
      <c r="B62" s="28">
        <v>11</v>
      </c>
      <c r="C62" s="48" t="s">
        <v>55</v>
      </c>
      <c r="D62" s="55">
        <f>SUM(D63)</f>
        <v>0</v>
      </c>
      <c r="E62" s="34"/>
    </row>
    <row r="63" spans="1:5" ht="16.5" customHeight="1" hidden="1">
      <c r="A63" s="27" t="s">
        <v>41</v>
      </c>
      <c r="B63" s="28">
        <v>11</v>
      </c>
      <c r="C63" s="47" t="s">
        <v>6</v>
      </c>
      <c r="D63" s="54"/>
      <c r="E63" s="35"/>
    </row>
    <row r="64" spans="1:5" ht="22.5" customHeight="1">
      <c r="A64" s="29" t="s">
        <v>42</v>
      </c>
      <c r="B64" s="30"/>
      <c r="C64" s="49"/>
      <c r="D64" s="141">
        <f>SUM(D18+D29+D31+D34+D37+D48+D55+D58+D51)</f>
        <v>6449.58554</v>
      </c>
      <c r="E64" s="69"/>
    </row>
    <row r="65" ht="12.75">
      <c r="E65" s="31"/>
    </row>
    <row r="66" ht="12.75">
      <c r="E66" s="31"/>
    </row>
    <row r="67" spans="1:5" ht="12.75">
      <c r="A67" s="1"/>
      <c r="E67" s="31"/>
    </row>
    <row r="68" spans="1:5" ht="12.75">
      <c r="A68" s="1"/>
      <c r="E68" s="31"/>
    </row>
    <row r="69" spans="1:5" ht="12.75">
      <c r="A69" s="1"/>
      <c r="E69" s="31"/>
    </row>
    <row r="70" spans="1:5" ht="16.5" customHeight="1">
      <c r="A70" s="1"/>
      <c r="E70" s="31"/>
    </row>
    <row r="71" spans="1:5" ht="12.75">
      <c r="A71" s="1"/>
      <c r="E71" s="31"/>
    </row>
    <row r="72" spans="1:5" ht="12.75">
      <c r="A72" s="1"/>
      <c r="E72" s="31"/>
    </row>
  </sheetData>
  <sheetProtection/>
  <mergeCells count="10">
    <mergeCell ref="D13:D16"/>
    <mergeCell ref="C13:C16"/>
    <mergeCell ref="C4:D4"/>
    <mergeCell ref="C5:D5"/>
    <mergeCell ref="E13:E16"/>
    <mergeCell ref="A9:D9"/>
    <mergeCell ref="A10:D10"/>
    <mergeCell ref="A11:D11"/>
    <mergeCell ref="A13:A16"/>
    <mergeCell ref="B13:B16"/>
  </mergeCells>
  <printOptions/>
  <pageMargins left="0.984251968503937" right="0" top="0.1968503937007874" bottom="0.984251968503937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PageLayoutView="0" workbookViewId="0" topLeftCell="A1">
      <selection activeCell="F4" sqref="F4:I4"/>
    </sheetView>
  </sheetViews>
  <sheetFormatPr defaultColWidth="9.00390625" defaultRowHeight="12.75"/>
  <cols>
    <col min="1" max="1" width="57.25390625" style="59" customWidth="1"/>
    <col min="2" max="2" width="5.125" style="59" hidden="1" customWidth="1"/>
    <col min="3" max="3" width="6.00390625" style="59" hidden="1" customWidth="1"/>
    <col min="4" max="4" width="6.00390625" style="59" customWidth="1"/>
    <col min="5" max="5" width="5.00390625" style="61" customWidth="1"/>
    <col min="6" max="6" width="5.125" style="59" customWidth="1"/>
    <col min="7" max="7" width="14.875" style="63" customWidth="1"/>
    <col min="8" max="8" width="5.00390625" style="59" customWidth="1"/>
    <col min="9" max="9" width="10.25390625" style="119" customWidth="1"/>
    <col min="10" max="10" width="8.625" style="59" hidden="1" customWidth="1"/>
    <col min="11" max="11" width="12.25390625" style="120" customWidth="1"/>
    <col min="12" max="12" width="11.25390625" style="120" customWidth="1"/>
    <col min="13" max="13" width="9.125" style="59" customWidth="1"/>
    <col min="14" max="14" width="14.00390625" style="59" bestFit="1" customWidth="1"/>
    <col min="15" max="16384" width="9.125" style="59" customWidth="1"/>
  </cols>
  <sheetData>
    <row r="1" spans="5:9" ht="12.75" customHeight="1">
      <c r="E1" s="60"/>
      <c r="F1" s="155" t="s">
        <v>277</v>
      </c>
      <c r="G1" s="155"/>
      <c r="H1" s="155"/>
      <c r="I1" s="155"/>
    </row>
    <row r="2" spans="5:9" ht="12.75" customHeight="1">
      <c r="E2" s="60"/>
      <c r="F2" s="155" t="s">
        <v>97</v>
      </c>
      <c r="G2" s="155"/>
      <c r="H2" s="155"/>
      <c r="I2" s="155"/>
    </row>
    <row r="3" spans="5:9" ht="13.5" customHeight="1" hidden="1">
      <c r="E3" s="60"/>
      <c r="F3" s="156"/>
      <c r="G3" s="156"/>
      <c r="H3" s="156"/>
      <c r="I3" s="156"/>
    </row>
    <row r="4" spans="5:9" ht="14.25" customHeight="1">
      <c r="E4" s="60"/>
      <c r="F4" s="155" t="s">
        <v>300</v>
      </c>
      <c r="G4" s="155"/>
      <c r="H4" s="155"/>
      <c r="I4" s="155"/>
    </row>
    <row r="5" spans="6:9" ht="5.25" customHeight="1">
      <c r="F5" s="70"/>
      <c r="G5" s="70"/>
      <c r="H5" s="70"/>
      <c r="I5" s="117"/>
    </row>
    <row r="6" spans="1:9" ht="4.5" customHeight="1">
      <c r="A6" s="157"/>
      <c r="B6" s="157"/>
      <c r="C6" s="157"/>
      <c r="D6" s="157"/>
      <c r="E6" s="157"/>
      <c r="F6" s="157"/>
      <c r="G6" s="157"/>
      <c r="H6" s="157"/>
      <c r="I6" s="157"/>
    </row>
    <row r="7" spans="1:9" ht="2.25" customHeight="1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.5" customHeight="1">
      <c r="A8" s="159"/>
      <c r="B8" s="159"/>
      <c r="C8" s="159"/>
      <c r="D8" s="159"/>
      <c r="E8" s="159"/>
      <c r="F8" s="159"/>
      <c r="G8" s="159"/>
      <c r="H8" s="159"/>
      <c r="I8" s="159"/>
    </row>
    <row r="9" spans="1:9" ht="9.75" customHeight="1">
      <c r="A9" s="159"/>
      <c r="B9" s="159"/>
      <c r="C9" s="159"/>
      <c r="D9" s="159"/>
      <c r="E9" s="159"/>
      <c r="F9" s="159"/>
      <c r="G9" s="159"/>
      <c r="H9" s="159"/>
      <c r="I9" s="159"/>
    </row>
    <row r="10" spans="1:9" ht="14.25">
      <c r="A10" s="160" t="s">
        <v>283</v>
      </c>
      <c r="B10" s="160"/>
      <c r="C10" s="160"/>
      <c r="D10" s="160"/>
      <c r="E10" s="160"/>
      <c r="F10" s="160"/>
      <c r="G10" s="160"/>
      <c r="H10" s="160"/>
      <c r="I10" s="160"/>
    </row>
    <row r="11" spans="1:9" ht="12">
      <c r="A11" s="62"/>
      <c r="B11" s="62"/>
      <c r="C11" s="62"/>
      <c r="D11" s="62"/>
      <c r="E11" s="63"/>
      <c r="F11" s="63"/>
      <c r="H11" s="63"/>
      <c r="I11" s="118"/>
    </row>
    <row r="12" spans="1:12" ht="12">
      <c r="A12" s="151" t="s">
        <v>210</v>
      </c>
      <c r="B12" s="151" t="s">
        <v>76</v>
      </c>
      <c r="C12" s="151" t="s">
        <v>46</v>
      </c>
      <c r="D12" s="151" t="s">
        <v>76</v>
      </c>
      <c r="E12" s="151" t="s">
        <v>77</v>
      </c>
      <c r="F12" s="151" t="s">
        <v>78</v>
      </c>
      <c r="G12" s="151" t="s">
        <v>43</v>
      </c>
      <c r="H12" s="151" t="s">
        <v>79</v>
      </c>
      <c r="I12" s="152" t="s">
        <v>298</v>
      </c>
      <c r="J12" s="120"/>
      <c r="K12" s="153" t="s">
        <v>299</v>
      </c>
      <c r="L12" s="153" t="s">
        <v>281</v>
      </c>
    </row>
    <row r="13" spans="1:12" ht="12">
      <c r="A13" s="151"/>
      <c r="B13" s="151"/>
      <c r="C13" s="151"/>
      <c r="D13" s="151"/>
      <c r="E13" s="151"/>
      <c r="F13" s="151"/>
      <c r="G13" s="151"/>
      <c r="H13" s="151"/>
      <c r="I13" s="152"/>
      <c r="J13" s="120"/>
      <c r="K13" s="154"/>
      <c r="L13" s="154"/>
    </row>
    <row r="14" spans="1:12" ht="12">
      <c r="A14" s="71">
        <v>1</v>
      </c>
      <c r="B14" s="71"/>
      <c r="C14" s="71"/>
      <c r="D14" s="71">
        <v>2</v>
      </c>
      <c r="E14" s="72">
        <v>3</v>
      </c>
      <c r="F14" s="72">
        <v>4</v>
      </c>
      <c r="G14" s="72">
        <v>5</v>
      </c>
      <c r="H14" s="72">
        <v>6</v>
      </c>
      <c r="I14" s="73">
        <v>7</v>
      </c>
      <c r="K14" s="72">
        <v>8</v>
      </c>
      <c r="L14" s="72">
        <v>9</v>
      </c>
    </row>
    <row r="15" spans="1:12" ht="12">
      <c r="A15" s="74" t="s">
        <v>98</v>
      </c>
      <c r="B15" s="75"/>
      <c r="C15" s="75"/>
      <c r="D15" s="75">
        <v>819</v>
      </c>
      <c r="E15" s="76"/>
      <c r="F15" s="76"/>
      <c r="G15" s="76"/>
      <c r="H15" s="76"/>
      <c r="I15" s="122">
        <f>I16+I95+I106+I126+I196+I233+I253+I85</f>
        <v>37325.64098999999</v>
      </c>
      <c r="J15" s="123"/>
      <c r="K15" s="124">
        <f>K16+K95+K106+K126+K196+K233+K253+K85</f>
        <v>6449.585539999999</v>
      </c>
      <c r="L15" s="136">
        <f>K15/I15*100</f>
        <v>17.279235852179802</v>
      </c>
    </row>
    <row r="16" spans="1:12" ht="12">
      <c r="A16" s="77" t="s">
        <v>5</v>
      </c>
      <c r="B16" s="78" t="s">
        <v>80</v>
      </c>
      <c r="C16" s="78" t="s">
        <v>80</v>
      </c>
      <c r="D16" s="78" t="s">
        <v>65</v>
      </c>
      <c r="E16" s="79" t="s">
        <v>6</v>
      </c>
      <c r="F16" s="79"/>
      <c r="G16" s="79"/>
      <c r="H16" s="79"/>
      <c r="I16" s="122">
        <f>I17+I30+I58+I62+I66+I71</f>
        <v>8965.42635</v>
      </c>
      <c r="J16" s="123"/>
      <c r="K16" s="124">
        <f>K17+K30+K58+K62+K66+K71</f>
        <v>1300.7494</v>
      </c>
      <c r="L16" s="136">
        <f aca="true" t="shared" si="0" ref="L16:L79">K16/I16*100</f>
        <v>14.50850577786521</v>
      </c>
    </row>
    <row r="17" spans="1:12" ht="24">
      <c r="A17" s="80" t="s">
        <v>81</v>
      </c>
      <c r="B17" s="81" t="s">
        <v>80</v>
      </c>
      <c r="C17" s="81" t="s">
        <v>80</v>
      </c>
      <c r="D17" s="81" t="s">
        <v>65</v>
      </c>
      <c r="E17" s="76" t="s">
        <v>6</v>
      </c>
      <c r="F17" s="76" t="s">
        <v>8</v>
      </c>
      <c r="G17" s="76"/>
      <c r="H17" s="76"/>
      <c r="I17" s="122">
        <f>I18</f>
        <v>911.3270500000001</v>
      </c>
      <c r="J17" s="123"/>
      <c r="K17" s="125">
        <f>K18</f>
        <v>193.28743</v>
      </c>
      <c r="L17" s="136">
        <f t="shared" si="0"/>
        <v>21.209447256064657</v>
      </c>
    </row>
    <row r="18" spans="1:12" ht="12">
      <c r="A18" s="82" t="s">
        <v>104</v>
      </c>
      <c r="B18" s="83" t="s">
        <v>80</v>
      </c>
      <c r="C18" s="83" t="s">
        <v>80</v>
      </c>
      <c r="D18" s="83" t="s">
        <v>65</v>
      </c>
      <c r="E18" s="84" t="s">
        <v>6</v>
      </c>
      <c r="F18" s="84" t="s">
        <v>8</v>
      </c>
      <c r="G18" s="84" t="s">
        <v>155</v>
      </c>
      <c r="H18" s="84"/>
      <c r="I18" s="126">
        <f>I19</f>
        <v>911.3270500000001</v>
      </c>
      <c r="J18" s="123"/>
      <c r="K18" s="125">
        <f>K19</f>
        <v>193.28743</v>
      </c>
      <c r="L18" s="136">
        <f t="shared" si="0"/>
        <v>21.209447256064657</v>
      </c>
    </row>
    <row r="19" spans="1:12" ht="12">
      <c r="A19" s="82" t="s">
        <v>50</v>
      </c>
      <c r="B19" s="83" t="s">
        <v>80</v>
      </c>
      <c r="C19" s="83" t="s">
        <v>80</v>
      </c>
      <c r="D19" s="83" t="s">
        <v>65</v>
      </c>
      <c r="E19" s="84" t="s">
        <v>6</v>
      </c>
      <c r="F19" s="84" t="s">
        <v>8</v>
      </c>
      <c r="G19" s="84" t="s">
        <v>156</v>
      </c>
      <c r="H19" s="84"/>
      <c r="I19" s="126">
        <f>I21</f>
        <v>911.3270500000001</v>
      </c>
      <c r="J19" s="123"/>
      <c r="K19" s="125">
        <f>K21</f>
        <v>193.28743</v>
      </c>
      <c r="L19" s="136">
        <f t="shared" si="0"/>
        <v>21.209447256064657</v>
      </c>
    </row>
    <row r="20" spans="1:12" ht="24">
      <c r="A20" s="82" t="s">
        <v>82</v>
      </c>
      <c r="B20" s="83"/>
      <c r="C20" s="83"/>
      <c r="D20" s="83" t="s">
        <v>65</v>
      </c>
      <c r="E20" s="84" t="s">
        <v>6</v>
      </c>
      <c r="F20" s="84" t="s">
        <v>8</v>
      </c>
      <c r="G20" s="84" t="s">
        <v>157</v>
      </c>
      <c r="H20" s="84"/>
      <c r="I20" s="126">
        <f>I21</f>
        <v>911.3270500000001</v>
      </c>
      <c r="J20" s="123"/>
      <c r="K20" s="125">
        <f>K21</f>
        <v>193.28743</v>
      </c>
      <c r="L20" s="136">
        <f t="shared" si="0"/>
        <v>21.209447256064657</v>
      </c>
    </row>
    <row r="21" spans="1:12" ht="24">
      <c r="A21" s="82" t="s">
        <v>101</v>
      </c>
      <c r="B21" s="83" t="s">
        <v>80</v>
      </c>
      <c r="C21" s="83" t="s">
        <v>80</v>
      </c>
      <c r="D21" s="83" t="s">
        <v>65</v>
      </c>
      <c r="E21" s="84" t="s">
        <v>6</v>
      </c>
      <c r="F21" s="84" t="s">
        <v>8</v>
      </c>
      <c r="G21" s="84" t="s">
        <v>157</v>
      </c>
      <c r="H21" s="84" t="s">
        <v>100</v>
      </c>
      <c r="I21" s="126">
        <f>(669222+202105.05)/1000+40000/1000</f>
        <v>911.3270500000001</v>
      </c>
      <c r="J21" s="123"/>
      <c r="K21" s="125">
        <f>(158231.1+35056.33)/1000</f>
        <v>193.28743</v>
      </c>
      <c r="L21" s="136">
        <f t="shared" si="0"/>
        <v>21.209447256064657</v>
      </c>
    </row>
    <row r="22" spans="1:12" ht="36" hidden="1">
      <c r="A22" s="80" t="s">
        <v>64</v>
      </c>
      <c r="B22" s="81" t="s">
        <v>80</v>
      </c>
      <c r="C22" s="81" t="s">
        <v>80</v>
      </c>
      <c r="D22" s="81" t="s">
        <v>65</v>
      </c>
      <c r="E22" s="76" t="s">
        <v>6</v>
      </c>
      <c r="F22" s="76" t="s">
        <v>9</v>
      </c>
      <c r="G22" s="76"/>
      <c r="H22" s="76"/>
      <c r="I22" s="122">
        <f>I23+I27</f>
        <v>0</v>
      </c>
      <c r="J22" s="123"/>
      <c r="K22" s="125">
        <f>K23+K27</f>
        <v>0</v>
      </c>
      <c r="L22" s="136" t="e">
        <f t="shared" si="0"/>
        <v>#DIV/0!</v>
      </c>
    </row>
    <row r="23" spans="1:12" ht="24" hidden="1">
      <c r="A23" s="82" t="s">
        <v>103</v>
      </c>
      <c r="B23" s="81"/>
      <c r="C23" s="83" t="s">
        <v>80</v>
      </c>
      <c r="D23" s="83" t="s">
        <v>65</v>
      </c>
      <c r="E23" s="84" t="s">
        <v>6</v>
      </c>
      <c r="F23" s="84" t="s">
        <v>9</v>
      </c>
      <c r="G23" s="84" t="s">
        <v>158</v>
      </c>
      <c r="H23" s="84"/>
      <c r="I23" s="126">
        <f>I24</f>
        <v>0</v>
      </c>
      <c r="J23" s="123"/>
      <c r="K23" s="125">
        <f>K24</f>
        <v>0</v>
      </c>
      <c r="L23" s="136" t="e">
        <f t="shared" si="0"/>
        <v>#DIV/0!</v>
      </c>
    </row>
    <row r="24" spans="1:12" ht="12" hidden="1">
      <c r="A24" s="82" t="s">
        <v>63</v>
      </c>
      <c r="B24" s="83" t="s">
        <v>80</v>
      </c>
      <c r="C24" s="83" t="s">
        <v>80</v>
      </c>
      <c r="D24" s="83" t="s">
        <v>65</v>
      </c>
      <c r="E24" s="84" t="s">
        <v>6</v>
      </c>
      <c r="F24" s="84" t="s">
        <v>9</v>
      </c>
      <c r="G24" s="84" t="s">
        <v>159</v>
      </c>
      <c r="H24" s="84"/>
      <c r="I24" s="126">
        <f>I25</f>
        <v>0</v>
      </c>
      <c r="J24" s="123"/>
      <c r="K24" s="125">
        <f>K25</f>
        <v>0</v>
      </c>
      <c r="L24" s="136" t="e">
        <f t="shared" si="0"/>
        <v>#DIV/0!</v>
      </c>
    </row>
    <row r="25" spans="1:12" ht="24" hidden="1">
      <c r="A25" s="82" t="s">
        <v>82</v>
      </c>
      <c r="B25" s="83" t="s">
        <v>80</v>
      </c>
      <c r="C25" s="83" t="s">
        <v>80</v>
      </c>
      <c r="D25" s="83" t="s">
        <v>65</v>
      </c>
      <c r="E25" s="84" t="s">
        <v>6</v>
      </c>
      <c r="F25" s="84" t="s">
        <v>9</v>
      </c>
      <c r="G25" s="84" t="s">
        <v>160</v>
      </c>
      <c r="H25" s="84"/>
      <c r="I25" s="126">
        <f>I26</f>
        <v>0</v>
      </c>
      <c r="J25" s="123"/>
      <c r="K25" s="125">
        <f>K26</f>
        <v>0</v>
      </c>
      <c r="L25" s="136" t="e">
        <f t="shared" si="0"/>
        <v>#DIV/0!</v>
      </c>
    </row>
    <row r="26" spans="1:12" ht="24" hidden="1">
      <c r="A26" s="82" t="s">
        <v>101</v>
      </c>
      <c r="B26" s="83"/>
      <c r="C26" s="83"/>
      <c r="D26" s="83" t="s">
        <v>65</v>
      </c>
      <c r="E26" s="84" t="s">
        <v>6</v>
      </c>
      <c r="F26" s="84" t="s">
        <v>9</v>
      </c>
      <c r="G26" s="84" t="s">
        <v>160</v>
      </c>
      <c r="H26" s="84" t="s">
        <v>100</v>
      </c>
      <c r="I26" s="126"/>
      <c r="J26" s="123"/>
      <c r="K26" s="125"/>
      <c r="L26" s="136" t="e">
        <f t="shared" si="0"/>
        <v>#DIV/0!</v>
      </c>
    </row>
    <row r="27" spans="1:12" ht="12" hidden="1">
      <c r="A27" s="85" t="s">
        <v>120</v>
      </c>
      <c r="B27" s="83"/>
      <c r="C27" s="83"/>
      <c r="D27" s="83" t="s">
        <v>65</v>
      </c>
      <c r="E27" s="84" t="s">
        <v>6</v>
      </c>
      <c r="F27" s="84" t="s">
        <v>9</v>
      </c>
      <c r="G27" s="84" t="s">
        <v>211</v>
      </c>
      <c r="H27" s="84"/>
      <c r="I27" s="126">
        <f>I28</f>
        <v>0</v>
      </c>
      <c r="J27" s="123"/>
      <c r="K27" s="125">
        <f>K28</f>
        <v>0</v>
      </c>
      <c r="L27" s="136" t="e">
        <f t="shared" si="0"/>
        <v>#DIV/0!</v>
      </c>
    </row>
    <row r="28" spans="1:12" ht="24" hidden="1">
      <c r="A28" s="85" t="s">
        <v>84</v>
      </c>
      <c r="B28" s="83"/>
      <c r="C28" s="83"/>
      <c r="D28" s="83" t="s">
        <v>65</v>
      </c>
      <c r="E28" s="84" t="s">
        <v>6</v>
      </c>
      <c r="F28" s="84" t="s">
        <v>9</v>
      </c>
      <c r="G28" s="84" t="s">
        <v>211</v>
      </c>
      <c r="H28" s="84" t="s">
        <v>100</v>
      </c>
      <c r="I28" s="126"/>
      <c r="J28" s="123"/>
      <c r="K28" s="125"/>
      <c r="L28" s="136" t="e">
        <f t="shared" si="0"/>
        <v>#DIV/0!</v>
      </c>
    </row>
    <row r="29" spans="1:12" ht="36" hidden="1">
      <c r="A29" s="82" t="s">
        <v>141</v>
      </c>
      <c r="B29" s="83"/>
      <c r="C29" s="83"/>
      <c r="D29" s="83" t="s">
        <v>65</v>
      </c>
      <c r="E29" s="84" t="s">
        <v>6</v>
      </c>
      <c r="F29" s="84" t="s">
        <v>9</v>
      </c>
      <c r="G29" s="84" t="s">
        <v>211</v>
      </c>
      <c r="H29" s="84" t="s">
        <v>105</v>
      </c>
      <c r="I29" s="126"/>
      <c r="J29" s="123"/>
      <c r="K29" s="125"/>
      <c r="L29" s="136" t="e">
        <f t="shared" si="0"/>
        <v>#DIV/0!</v>
      </c>
    </row>
    <row r="30" spans="1:12" ht="36">
      <c r="A30" s="80" t="s">
        <v>56</v>
      </c>
      <c r="B30" s="81" t="s">
        <v>80</v>
      </c>
      <c r="C30" s="81" t="s">
        <v>80</v>
      </c>
      <c r="D30" s="81" t="s">
        <v>65</v>
      </c>
      <c r="E30" s="76" t="s">
        <v>6</v>
      </c>
      <c r="F30" s="76" t="s">
        <v>11</v>
      </c>
      <c r="G30" s="76"/>
      <c r="H30" s="76"/>
      <c r="I30" s="122">
        <f>I38+I44+I50+I31</f>
        <v>7729.5993</v>
      </c>
      <c r="J30" s="123"/>
      <c r="K30" s="124">
        <f>K38+K44+K50+K31</f>
        <v>1103.4619699999998</v>
      </c>
      <c r="L30" s="136">
        <f t="shared" si="0"/>
        <v>14.27579784116364</v>
      </c>
    </row>
    <row r="31" spans="1:12" ht="24" hidden="1">
      <c r="A31" s="86" t="s">
        <v>273</v>
      </c>
      <c r="B31" s="81"/>
      <c r="C31" s="81"/>
      <c r="D31" s="83" t="s">
        <v>65</v>
      </c>
      <c r="E31" s="84" t="s">
        <v>6</v>
      </c>
      <c r="F31" s="84" t="s">
        <v>11</v>
      </c>
      <c r="G31" s="84" t="s">
        <v>275</v>
      </c>
      <c r="H31" s="84"/>
      <c r="I31" s="126">
        <f>I32+I35</f>
        <v>0</v>
      </c>
      <c r="J31" s="123"/>
      <c r="K31" s="125">
        <f>K32+K35</f>
        <v>0</v>
      </c>
      <c r="L31" s="136" t="e">
        <f t="shared" si="0"/>
        <v>#DIV/0!</v>
      </c>
    </row>
    <row r="32" spans="1:12" ht="12" hidden="1">
      <c r="A32" s="87" t="s">
        <v>229</v>
      </c>
      <c r="B32" s="81"/>
      <c r="C32" s="81"/>
      <c r="D32" s="83" t="s">
        <v>65</v>
      </c>
      <c r="E32" s="84" t="s">
        <v>6</v>
      </c>
      <c r="F32" s="84" t="s">
        <v>11</v>
      </c>
      <c r="G32" s="84" t="s">
        <v>275</v>
      </c>
      <c r="H32" s="84" t="s">
        <v>100</v>
      </c>
      <c r="I32" s="126">
        <v>0</v>
      </c>
      <c r="J32" s="123"/>
      <c r="K32" s="125">
        <v>0</v>
      </c>
      <c r="L32" s="136" t="e">
        <f t="shared" si="0"/>
        <v>#DIV/0!</v>
      </c>
    </row>
    <row r="33" spans="1:12" ht="24" hidden="1">
      <c r="A33" s="87" t="s">
        <v>162</v>
      </c>
      <c r="B33" s="81"/>
      <c r="C33" s="81"/>
      <c r="D33" s="83" t="s">
        <v>65</v>
      </c>
      <c r="E33" s="84" t="s">
        <v>6</v>
      </c>
      <c r="F33" s="84" t="s">
        <v>11</v>
      </c>
      <c r="G33" s="84" t="s">
        <v>165</v>
      </c>
      <c r="H33" s="84" t="s">
        <v>166</v>
      </c>
      <c r="I33" s="122">
        <f>I34</f>
        <v>0</v>
      </c>
      <c r="J33" s="123"/>
      <c r="K33" s="125">
        <f>K34</f>
        <v>0</v>
      </c>
      <c r="L33" s="136" t="e">
        <f t="shared" si="0"/>
        <v>#DIV/0!</v>
      </c>
    </row>
    <row r="34" spans="1:12" ht="24" hidden="1">
      <c r="A34" s="87" t="s">
        <v>163</v>
      </c>
      <c r="B34" s="81"/>
      <c r="C34" s="81"/>
      <c r="D34" s="83" t="s">
        <v>65</v>
      </c>
      <c r="E34" s="84" t="s">
        <v>6</v>
      </c>
      <c r="F34" s="84" t="s">
        <v>11</v>
      </c>
      <c r="G34" s="84" t="s">
        <v>165</v>
      </c>
      <c r="H34" s="84" t="s">
        <v>109</v>
      </c>
      <c r="I34" s="126">
        <f>(90000-90000)/1000</f>
        <v>0</v>
      </c>
      <c r="J34" s="123"/>
      <c r="K34" s="125">
        <f>(90000-90000)/1000</f>
        <v>0</v>
      </c>
      <c r="L34" s="136" t="e">
        <f t="shared" si="0"/>
        <v>#DIV/0!</v>
      </c>
    </row>
    <row r="35" spans="1:12" ht="24" hidden="1">
      <c r="A35" s="88" t="s">
        <v>177</v>
      </c>
      <c r="B35" s="81"/>
      <c r="C35" s="81"/>
      <c r="D35" s="83" t="s">
        <v>65</v>
      </c>
      <c r="E35" s="84" t="s">
        <v>6</v>
      </c>
      <c r="F35" s="84" t="s">
        <v>11</v>
      </c>
      <c r="G35" s="84" t="s">
        <v>167</v>
      </c>
      <c r="H35" s="84"/>
      <c r="I35" s="126">
        <f>I36</f>
        <v>0</v>
      </c>
      <c r="J35" s="123"/>
      <c r="K35" s="125">
        <f>K36</f>
        <v>0</v>
      </c>
      <c r="L35" s="136" t="e">
        <f t="shared" si="0"/>
        <v>#DIV/0!</v>
      </c>
    </row>
    <row r="36" spans="1:12" ht="24" hidden="1">
      <c r="A36" s="87" t="s">
        <v>227</v>
      </c>
      <c r="B36" s="81"/>
      <c r="C36" s="81"/>
      <c r="D36" s="83" t="s">
        <v>65</v>
      </c>
      <c r="E36" s="84" t="s">
        <v>6</v>
      </c>
      <c r="F36" s="84" t="s">
        <v>11</v>
      </c>
      <c r="G36" s="84" t="s">
        <v>167</v>
      </c>
      <c r="H36" s="84" t="s">
        <v>166</v>
      </c>
      <c r="I36" s="126">
        <f>I37</f>
        <v>0</v>
      </c>
      <c r="J36" s="123"/>
      <c r="K36" s="125">
        <f>K37</f>
        <v>0</v>
      </c>
      <c r="L36" s="136" t="e">
        <f t="shared" si="0"/>
        <v>#DIV/0!</v>
      </c>
    </row>
    <row r="37" spans="1:12" ht="24" hidden="1">
      <c r="A37" s="87" t="s">
        <v>163</v>
      </c>
      <c r="B37" s="81"/>
      <c r="C37" s="81"/>
      <c r="D37" s="83" t="s">
        <v>65</v>
      </c>
      <c r="E37" s="84" t="s">
        <v>6</v>
      </c>
      <c r="F37" s="84" t="s">
        <v>11</v>
      </c>
      <c r="G37" s="84" t="s">
        <v>167</v>
      </c>
      <c r="H37" s="84" t="s">
        <v>109</v>
      </c>
      <c r="I37" s="126"/>
      <c r="J37" s="123"/>
      <c r="K37" s="125"/>
      <c r="L37" s="136" t="e">
        <f t="shared" si="0"/>
        <v>#DIV/0!</v>
      </c>
    </row>
    <row r="38" spans="1:12" ht="24">
      <c r="A38" s="85" t="s">
        <v>84</v>
      </c>
      <c r="B38" s="81"/>
      <c r="C38" s="81"/>
      <c r="D38" s="83" t="s">
        <v>65</v>
      </c>
      <c r="E38" s="84" t="s">
        <v>6</v>
      </c>
      <c r="F38" s="84" t="s">
        <v>11</v>
      </c>
      <c r="G38" s="84" t="s">
        <v>171</v>
      </c>
      <c r="H38" s="84"/>
      <c r="I38" s="126">
        <f>I39+I40+I47</f>
        <v>7654.5993</v>
      </c>
      <c r="J38" s="123"/>
      <c r="K38" s="125">
        <f>K39+K40+K47</f>
        <v>1103.4619699999998</v>
      </c>
      <c r="L38" s="136">
        <f t="shared" si="0"/>
        <v>14.41567254865973</v>
      </c>
    </row>
    <row r="39" spans="1:12" ht="12">
      <c r="A39" s="87" t="s">
        <v>229</v>
      </c>
      <c r="B39" s="81"/>
      <c r="C39" s="81"/>
      <c r="D39" s="83" t="s">
        <v>65</v>
      </c>
      <c r="E39" s="84" t="s">
        <v>6</v>
      </c>
      <c r="F39" s="84" t="s">
        <v>11</v>
      </c>
      <c r="G39" s="84" t="s">
        <v>171</v>
      </c>
      <c r="H39" s="84" t="s">
        <v>100</v>
      </c>
      <c r="I39" s="126">
        <f>(6505654.92)/1000</f>
        <v>6505.65492</v>
      </c>
      <c r="J39" s="123"/>
      <c r="K39" s="125">
        <f>937502.73/1000</f>
        <v>937.5027299999999</v>
      </c>
      <c r="L39" s="136">
        <f t="shared" si="0"/>
        <v>14.410581894189987</v>
      </c>
    </row>
    <row r="40" spans="1:12" ht="24">
      <c r="A40" s="89" t="s">
        <v>227</v>
      </c>
      <c r="B40" s="83" t="s">
        <v>80</v>
      </c>
      <c r="C40" s="83" t="s">
        <v>80</v>
      </c>
      <c r="D40" s="83" t="s">
        <v>65</v>
      </c>
      <c r="E40" s="84" t="s">
        <v>6</v>
      </c>
      <c r="F40" s="84" t="s">
        <v>11</v>
      </c>
      <c r="G40" s="84" t="s">
        <v>171</v>
      </c>
      <c r="H40" s="84" t="s">
        <v>166</v>
      </c>
      <c r="I40" s="126">
        <f>I41</f>
        <v>1023.94438</v>
      </c>
      <c r="J40" s="123"/>
      <c r="K40" s="125">
        <f>K41</f>
        <v>131.76121</v>
      </c>
      <c r="L40" s="136">
        <f t="shared" si="0"/>
        <v>12.868004607828407</v>
      </c>
    </row>
    <row r="41" spans="1:12" ht="24">
      <c r="A41" s="87" t="s">
        <v>163</v>
      </c>
      <c r="B41" s="83" t="s">
        <v>80</v>
      </c>
      <c r="C41" s="83" t="s">
        <v>80</v>
      </c>
      <c r="D41" s="83" t="s">
        <v>65</v>
      </c>
      <c r="E41" s="84" t="s">
        <v>6</v>
      </c>
      <c r="F41" s="84" t="s">
        <v>11</v>
      </c>
      <c r="G41" s="84" t="s">
        <v>171</v>
      </c>
      <c r="H41" s="84" t="s">
        <v>109</v>
      </c>
      <c r="I41" s="126">
        <f>917944.38/1000+106000/1000</f>
        <v>1023.94438</v>
      </c>
      <c r="J41" s="123"/>
      <c r="K41" s="125">
        <f>131761.21/1000</f>
        <v>131.76121</v>
      </c>
      <c r="L41" s="136">
        <f t="shared" si="0"/>
        <v>12.868004607828407</v>
      </c>
    </row>
    <row r="42" spans="1:12" ht="24" hidden="1">
      <c r="A42" s="87" t="s">
        <v>237</v>
      </c>
      <c r="B42" s="83"/>
      <c r="C42" s="83"/>
      <c r="D42" s="83" t="s">
        <v>65</v>
      </c>
      <c r="E42" s="84" t="s">
        <v>6</v>
      </c>
      <c r="F42" s="84" t="s">
        <v>11</v>
      </c>
      <c r="G42" s="84" t="s">
        <v>171</v>
      </c>
      <c r="H42" s="84" t="s">
        <v>236</v>
      </c>
      <c r="I42" s="126"/>
      <c r="J42" s="123"/>
      <c r="K42" s="125"/>
      <c r="L42" s="136" t="e">
        <f t="shared" si="0"/>
        <v>#DIV/0!</v>
      </c>
    </row>
    <row r="43" spans="1:12" ht="24" hidden="1">
      <c r="A43" s="87" t="s">
        <v>238</v>
      </c>
      <c r="B43" s="83"/>
      <c r="C43" s="83"/>
      <c r="D43" s="83" t="s">
        <v>65</v>
      </c>
      <c r="E43" s="84" t="s">
        <v>6</v>
      </c>
      <c r="F43" s="84" t="s">
        <v>11</v>
      </c>
      <c r="G43" s="84" t="s">
        <v>171</v>
      </c>
      <c r="H43" s="84" t="s">
        <v>235</v>
      </c>
      <c r="I43" s="126"/>
      <c r="J43" s="123"/>
      <c r="K43" s="125"/>
      <c r="L43" s="136" t="e">
        <f t="shared" si="0"/>
        <v>#DIV/0!</v>
      </c>
    </row>
    <row r="44" spans="1:12" ht="12" hidden="1">
      <c r="A44" s="87" t="s">
        <v>264</v>
      </c>
      <c r="B44" s="83"/>
      <c r="C44" s="83"/>
      <c r="D44" s="83" t="s">
        <v>65</v>
      </c>
      <c r="E44" s="84" t="s">
        <v>6</v>
      </c>
      <c r="F44" s="84" t="s">
        <v>11</v>
      </c>
      <c r="G44" s="84" t="s">
        <v>263</v>
      </c>
      <c r="H44" s="84"/>
      <c r="I44" s="126">
        <f>I45</f>
        <v>0</v>
      </c>
      <c r="J44" s="123"/>
      <c r="K44" s="125">
        <f>K45</f>
        <v>0</v>
      </c>
      <c r="L44" s="136" t="e">
        <f t="shared" si="0"/>
        <v>#DIV/0!</v>
      </c>
    </row>
    <row r="45" spans="1:12" ht="24" hidden="1">
      <c r="A45" s="89" t="s">
        <v>227</v>
      </c>
      <c r="B45" s="83"/>
      <c r="C45" s="83"/>
      <c r="D45" s="83" t="s">
        <v>65</v>
      </c>
      <c r="E45" s="84" t="s">
        <v>6</v>
      </c>
      <c r="F45" s="84" t="s">
        <v>11</v>
      </c>
      <c r="G45" s="84" t="s">
        <v>263</v>
      </c>
      <c r="H45" s="84" t="s">
        <v>166</v>
      </c>
      <c r="I45" s="126">
        <f>I46</f>
        <v>0</v>
      </c>
      <c r="J45" s="123"/>
      <c r="K45" s="125">
        <f>K46</f>
        <v>0</v>
      </c>
      <c r="L45" s="136" t="e">
        <f t="shared" si="0"/>
        <v>#DIV/0!</v>
      </c>
    </row>
    <row r="46" spans="1:12" ht="24" hidden="1">
      <c r="A46" s="87" t="s">
        <v>163</v>
      </c>
      <c r="B46" s="83"/>
      <c r="C46" s="83"/>
      <c r="D46" s="83" t="s">
        <v>65</v>
      </c>
      <c r="E46" s="84" t="s">
        <v>6</v>
      </c>
      <c r="F46" s="84" t="s">
        <v>11</v>
      </c>
      <c r="G46" s="84" t="s">
        <v>260</v>
      </c>
      <c r="H46" s="84" t="s">
        <v>109</v>
      </c>
      <c r="I46" s="126">
        <v>0</v>
      </c>
      <c r="J46" s="123"/>
      <c r="K46" s="125">
        <v>0</v>
      </c>
      <c r="L46" s="136" t="e">
        <f t="shared" si="0"/>
        <v>#DIV/0!</v>
      </c>
    </row>
    <row r="47" spans="1:12" ht="12">
      <c r="A47" s="90" t="s">
        <v>86</v>
      </c>
      <c r="B47" s="83"/>
      <c r="C47" s="83"/>
      <c r="D47" s="83" t="s">
        <v>65</v>
      </c>
      <c r="E47" s="84" t="s">
        <v>6</v>
      </c>
      <c r="F47" s="84" t="s">
        <v>11</v>
      </c>
      <c r="G47" s="84" t="s">
        <v>171</v>
      </c>
      <c r="H47" s="84" t="s">
        <v>87</v>
      </c>
      <c r="I47" s="126">
        <f>I49+I48</f>
        <v>125</v>
      </c>
      <c r="J47" s="123"/>
      <c r="K47" s="125">
        <f>K49+K48</f>
        <v>34.19803</v>
      </c>
      <c r="L47" s="136">
        <f t="shared" si="0"/>
        <v>27.358424000000003</v>
      </c>
    </row>
    <row r="48" spans="1:12" ht="12">
      <c r="A48" s="90" t="s">
        <v>214</v>
      </c>
      <c r="B48" s="83"/>
      <c r="C48" s="83"/>
      <c r="D48" s="83" t="s">
        <v>65</v>
      </c>
      <c r="E48" s="84" t="s">
        <v>6</v>
      </c>
      <c r="F48" s="84" t="s">
        <v>11</v>
      </c>
      <c r="G48" s="84" t="s">
        <v>171</v>
      </c>
      <c r="H48" s="84" t="s">
        <v>213</v>
      </c>
      <c r="I48" s="126">
        <f>25000/1000</f>
        <v>25</v>
      </c>
      <c r="J48" s="123"/>
      <c r="K48" s="125">
        <f>10327.35/1000</f>
        <v>10.327350000000001</v>
      </c>
      <c r="L48" s="136">
        <f t="shared" si="0"/>
        <v>41.309400000000004</v>
      </c>
    </row>
    <row r="49" spans="1:12" ht="12">
      <c r="A49" s="90" t="s">
        <v>112</v>
      </c>
      <c r="B49" s="83"/>
      <c r="C49" s="83"/>
      <c r="D49" s="83" t="s">
        <v>65</v>
      </c>
      <c r="E49" s="84" t="s">
        <v>6</v>
      </c>
      <c r="F49" s="84" t="s">
        <v>11</v>
      </c>
      <c r="G49" s="84" t="s">
        <v>171</v>
      </c>
      <c r="H49" s="84" t="s">
        <v>113</v>
      </c>
      <c r="I49" s="126">
        <f>(86880+1120+12000)/1000</f>
        <v>100</v>
      </c>
      <c r="J49" s="123"/>
      <c r="K49" s="125">
        <f>23870.68/1000</f>
        <v>23.87068</v>
      </c>
      <c r="L49" s="136">
        <f t="shared" si="0"/>
        <v>23.87068</v>
      </c>
    </row>
    <row r="50" spans="1:12" ht="24">
      <c r="A50" s="82" t="s">
        <v>142</v>
      </c>
      <c r="B50" s="83" t="s">
        <v>65</v>
      </c>
      <c r="C50" s="83" t="s">
        <v>6</v>
      </c>
      <c r="D50" s="83" t="s">
        <v>65</v>
      </c>
      <c r="E50" s="84" t="s">
        <v>6</v>
      </c>
      <c r="F50" s="84" t="s">
        <v>11</v>
      </c>
      <c r="G50" s="84" t="s">
        <v>217</v>
      </c>
      <c r="H50" s="84"/>
      <c r="I50" s="126">
        <f>I51</f>
        <v>75</v>
      </c>
      <c r="J50" s="123"/>
      <c r="K50" s="134">
        <f>K51</f>
        <v>0</v>
      </c>
      <c r="L50" s="137">
        <f t="shared" si="0"/>
        <v>0</v>
      </c>
    </row>
    <row r="51" spans="1:12" ht="24">
      <c r="A51" s="87" t="s">
        <v>227</v>
      </c>
      <c r="B51" s="83" t="s">
        <v>65</v>
      </c>
      <c r="C51" s="83" t="s">
        <v>6</v>
      </c>
      <c r="D51" s="83" t="s">
        <v>65</v>
      </c>
      <c r="E51" s="84" t="s">
        <v>6</v>
      </c>
      <c r="F51" s="84" t="s">
        <v>11</v>
      </c>
      <c r="G51" s="84" t="s">
        <v>217</v>
      </c>
      <c r="H51" s="84" t="s">
        <v>166</v>
      </c>
      <c r="I51" s="126">
        <f>I52</f>
        <v>75</v>
      </c>
      <c r="J51" s="123"/>
      <c r="K51" s="134">
        <f>K52</f>
        <v>0</v>
      </c>
      <c r="L51" s="137">
        <f t="shared" si="0"/>
        <v>0</v>
      </c>
    </row>
    <row r="52" spans="1:12" ht="24">
      <c r="A52" s="82" t="s">
        <v>108</v>
      </c>
      <c r="B52" s="83" t="s">
        <v>65</v>
      </c>
      <c r="C52" s="83" t="s">
        <v>6</v>
      </c>
      <c r="D52" s="83" t="s">
        <v>65</v>
      </c>
      <c r="E52" s="84" t="s">
        <v>6</v>
      </c>
      <c r="F52" s="84" t="s">
        <v>11</v>
      </c>
      <c r="G52" s="84" t="s">
        <v>217</v>
      </c>
      <c r="H52" s="84" t="s">
        <v>109</v>
      </c>
      <c r="I52" s="126">
        <f>75000/1000</f>
        <v>75</v>
      </c>
      <c r="J52" s="123"/>
      <c r="K52" s="134">
        <v>0</v>
      </c>
      <c r="L52" s="137">
        <f t="shared" si="0"/>
        <v>0</v>
      </c>
    </row>
    <row r="53" spans="1:12" ht="12" hidden="1">
      <c r="A53" s="80" t="s">
        <v>14</v>
      </c>
      <c r="B53" s="81"/>
      <c r="C53" s="81"/>
      <c r="D53" s="81" t="s">
        <v>65</v>
      </c>
      <c r="E53" s="76" t="s">
        <v>6</v>
      </c>
      <c r="F53" s="76" t="s">
        <v>15</v>
      </c>
      <c r="G53" s="76"/>
      <c r="H53" s="76"/>
      <c r="I53" s="122">
        <f>I54</f>
        <v>0</v>
      </c>
      <c r="J53" s="123"/>
      <c r="K53" s="134">
        <f>K54</f>
        <v>0</v>
      </c>
      <c r="L53" s="137" t="e">
        <f t="shared" si="0"/>
        <v>#DIV/0!</v>
      </c>
    </row>
    <row r="54" spans="1:12" ht="12" hidden="1">
      <c r="A54" s="91" t="s">
        <v>44</v>
      </c>
      <c r="B54" s="83"/>
      <c r="C54" s="83"/>
      <c r="D54" s="83" t="s">
        <v>65</v>
      </c>
      <c r="E54" s="84" t="s">
        <v>6</v>
      </c>
      <c r="F54" s="84" t="s">
        <v>15</v>
      </c>
      <c r="G54" s="84" t="s">
        <v>114</v>
      </c>
      <c r="H54" s="84"/>
      <c r="I54" s="126">
        <f>I55</f>
        <v>0</v>
      </c>
      <c r="J54" s="123"/>
      <c r="K54" s="134">
        <f>K55</f>
        <v>0</v>
      </c>
      <c r="L54" s="137" t="e">
        <f t="shared" si="0"/>
        <v>#DIV/0!</v>
      </c>
    </row>
    <row r="55" spans="1:12" ht="12" hidden="1">
      <c r="A55" s="85" t="s">
        <v>57</v>
      </c>
      <c r="B55" s="83"/>
      <c r="C55" s="83"/>
      <c r="D55" s="83" t="s">
        <v>65</v>
      </c>
      <c r="E55" s="84" t="s">
        <v>6</v>
      </c>
      <c r="F55" s="84" t="s">
        <v>15</v>
      </c>
      <c r="G55" s="84" t="s">
        <v>115</v>
      </c>
      <c r="H55" s="84"/>
      <c r="I55" s="126">
        <f>I56</f>
        <v>0</v>
      </c>
      <c r="J55" s="123"/>
      <c r="K55" s="134">
        <f>K56</f>
        <v>0</v>
      </c>
      <c r="L55" s="137" t="e">
        <f t="shared" si="0"/>
        <v>#DIV/0!</v>
      </c>
    </row>
    <row r="56" spans="1:12" ht="12" hidden="1">
      <c r="A56" s="85" t="s">
        <v>86</v>
      </c>
      <c r="B56" s="83"/>
      <c r="C56" s="83"/>
      <c r="D56" s="83" t="s">
        <v>65</v>
      </c>
      <c r="E56" s="84" t="s">
        <v>6</v>
      </c>
      <c r="F56" s="84" t="s">
        <v>15</v>
      </c>
      <c r="G56" s="84" t="s">
        <v>136</v>
      </c>
      <c r="H56" s="84" t="s">
        <v>87</v>
      </c>
      <c r="I56" s="126"/>
      <c r="J56" s="123"/>
      <c r="K56" s="134"/>
      <c r="L56" s="137" t="e">
        <f t="shared" si="0"/>
        <v>#DIV/0!</v>
      </c>
    </row>
    <row r="57" spans="1:12" ht="12" hidden="1">
      <c r="A57" s="85" t="s">
        <v>116</v>
      </c>
      <c r="B57" s="83"/>
      <c r="C57" s="83"/>
      <c r="D57" s="83" t="s">
        <v>65</v>
      </c>
      <c r="E57" s="84" t="s">
        <v>6</v>
      </c>
      <c r="F57" s="84" t="s">
        <v>15</v>
      </c>
      <c r="G57" s="84" t="s">
        <v>136</v>
      </c>
      <c r="H57" s="84" t="s">
        <v>117</v>
      </c>
      <c r="I57" s="126"/>
      <c r="J57" s="123"/>
      <c r="K57" s="134"/>
      <c r="L57" s="137" t="e">
        <f t="shared" si="0"/>
        <v>#DIV/0!</v>
      </c>
    </row>
    <row r="58" spans="1:12" ht="24">
      <c r="A58" s="92" t="s">
        <v>168</v>
      </c>
      <c r="B58" s="83"/>
      <c r="C58" s="83"/>
      <c r="D58" s="81" t="s">
        <v>65</v>
      </c>
      <c r="E58" s="76" t="s">
        <v>6</v>
      </c>
      <c r="F58" s="76" t="s">
        <v>13</v>
      </c>
      <c r="G58" s="84"/>
      <c r="H58" s="84"/>
      <c r="I58" s="122">
        <f>I59</f>
        <v>15.3</v>
      </c>
      <c r="J58" s="123"/>
      <c r="K58" s="135">
        <f>K59</f>
        <v>0</v>
      </c>
      <c r="L58" s="137">
        <f t="shared" si="0"/>
        <v>0</v>
      </c>
    </row>
    <row r="59" spans="1:12" ht="24">
      <c r="A59" s="87" t="s">
        <v>169</v>
      </c>
      <c r="B59" s="83"/>
      <c r="C59" s="83"/>
      <c r="D59" s="83" t="s">
        <v>65</v>
      </c>
      <c r="E59" s="84" t="s">
        <v>6</v>
      </c>
      <c r="F59" s="84" t="s">
        <v>13</v>
      </c>
      <c r="G59" s="84" t="s">
        <v>170</v>
      </c>
      <c r="H59" s="84"/>
      <c r="I59" s="126">
        <f>I60</f>
        <v>15.3</v>
      </c>
      <c r="J59" s="123"/>
      <c r="K59" s="134">
        <f>K60</f>
        <v>0</v>
      </c>
      <c r="L59" s="137">
        <f t="shared" si="0"/>
        <v>0</v>
      </c>
    </row>
    <row r="60" spans="1:12" ht="12">
      <c r="A60" s="93" t="s">
        <v>40</v>
      </c>
      <c r="B60" s="83"/>
      <c r="C60" s="83"/>
      <c r="D60" s="83" t="s">
        <v>65</v>
      </c>
      <c r="E60" s="84" t="s">
        <v>6</v>
      </c>
      <c r="F60" s="84" t="s">
        <v>13</v>
      </c>
      <c r="G60" s="84" t="s">
        <v>170</v>
      </c>
      <c r="H60" s="84" t="s">
        <v>172</v>
      </c>
      <c r="I60" s="126">
        <f>I61</f>
        <v>15.3</v>
      </c>
      <c r="J60" s="123"/>
      <c r="K60" s="134">
        <f>K61</f>
        <v>0</v>
      </c>
      <c r="L60" s="137">
        <f t="shared" si="0"/>
        <v>0</v>
      </c>
    </row>
    <row r="61" spans="1:12" ht="12">
      <c r="A61" s="93" t="s">
        <v>226</v>
      </c>
      <c r="B61" s="83"/>
      <c r="C61" s="83"/>
      <c r="D61" s="83" t="s">
        <v>65</v>
      </c>
      <c r="E61" s="84" t="s">
        <v>6</v>
      </c>
      <c r="F61" s="84" t="s">
        <v>13</v>
      </c>
      <c r="G61" s="84" t="s">
        <v>170</v>
      </c>
      <c r="H61" s="84" t="s">
        <v>225</v>
      </c>
      <c r="I61" s="126">
        <f>15300/1000</f>
        <v>15.3</v>
      </c>
      <c r="J61" s="123"/>
      <c r="K61" s="134">
        <v>0</v>
      </c>
      <c r="L61" s="137">
        <f t="shared" si="0"/>
        <v>0</v>
      </c>
    </row>
    <row r="62" spans="1:12" ht="12" hidden="1">
      <c r="A62" s="92" t="s">
        <v>14</v>
      </c>
      <c r="B62" s="83"/>
      <c r="C62" s="83"/>
      <c r="D62" s="81" t="s">
        <v>65</v>
      </c>
      <c r="E62" s="76" t="s">
        <v>6</v>
      </c>
      <c r="F62" s="76" t="s">
        <v>15</v>
      </c>
      <c r="G62" s="84"/>
      <c r="H62" s="84"/>
      <c r="I62" s="126">
        <f>I63</f>
        <v>0</v>
      </c>
      <c r="J62" s="123"/>
      <c r="K62" s="134">
        <f>K63</f>
        <v>0</v>
      </c>
      <c r="L62" s="137" t="e">
        <f t="shared" si="0"/>
        <v>#DIV/0!</v>
      </c>
    </row>
    <row r="63" spans="1:12" ht="12" hidden="1">
      <c r="A63" s="87" t="s">
        <v>44</v>
      </c>
      <c r="B63" s="83"/>
      <c r="C63" s="83"/>
      <c r="D63" s="83" t="s">
        <v>65</v>
      </c>
      <c r="E63" s="84" t="s">
        <v>6</v>
      </c>
      <c r="F63" s="84" t="s">
        <v>15</v>
      </c>
      <c r="G63" s="84" t="s">
        <v>173</v>
      </c>
      <c r="H63" s="84"/>
      <c r="I63" s="126">
        <f>I64</f>
        <v>0</v>
      </c>
      <c r="J63" s="123"/>
      <c r="K63" s="134">
        <f>K64</f>
        <v>0</v>
      </c>
      <c r="L63" s="137" t="e">
        <f t="shared" si="0"/>
        <v>#DIV/0!</v>
      </c>
    </row>
    <row r="64" spans="1:12" ht="24" hidden="1">
      <c r="A64" s="87" t="s">
        <v>227</v>
      </c>
      <c r="B64" s="83"/>
      <c r="C64" s="83"/>
      <c r="D64" s="83" t="s">
        <v>65</v>
      </c>
      <c r="E64" s="84" t="s">
        <v>6</v>
      </c>
      <c r="F64" s="84" t="s">
        <v>15</v>
      </c>
      <c r="G64" s="84" t="s">
        <v>173</v>
      </c>
      <c r="H64" s="84" t="s">
        <v>166</v>
      </c>
      <c r="I64" s="126">
        <f>I65</f>
        <v>0</v>
      </c>
      <c r="J64" s="123"/>
      <c r="K64" s="134">
        <f>K65</f>
        <v>0</v>
      </c>
      <c r="L64" s="137" t="e">
        <f t="shared" si="0"/>
        <v>#DIV/0!</v>
      </c>
    </row>
    <row r="65" spans="1:12" ht="24" hidden="1">
      <c r="A65" s="82" t="s">
        <v>108</v>
      </c>
      <c r="B65" s="83"/>
      <c r="C65" s="83"/>
      <c r="D65" s="83" t="s">
        <v>65</v>
      </c>
      <c r="E65" s="84" t="s">
        <v>6</v>
      </c>
      <c r="F65" s="84" t="s">
        <v>15</v>
      </c>
      <c r="G65" s="84" t="s">
        <v>173</v>
      </c>
      <c r="H65" s="84" t="s">
        <v>109</v>
      </c>
      <c r="I65" s="126">
        <v>0</v>
      </c>
      <c r="J65" s="123"/>
      <c r="K65" s="134">
        <v>0</v>
      </c>
      <c r="L65" s="137" t="e">
        <f t="shared" si="0"/>
        <v>#DIV/0!</v>
      </c>
    </row>
    <row r="66" spans="1:12" ht="12">
      <c r="A66" s="80" t="s">
        <v>17</v>
      </c>
      <c r="B66" s="83" t="s">
        <v>6</v>
      </c>
      <c r="C66" s="83" t="s">
        <v>45</v>
      </c>
      <c r="D66" s="81" t="s">
        <v>65</v>
      </c>
      <c r="E66" s="76" t="s">
        <v>6</v>
      </c>
      <c r="F66" s="76" t="s">
        <v>70</v>
      </c>
      <c r="G66" s="76"/>
      <c r="H66" s="76"/>
      <c r="I66" s="122">
        <f>I67</f>
        <v>50</v>
      </c>
      <c r="J66" s="123"/>
      <c r="K66" s="134">
        <f>K67</f>
        <v>0</v>
      </c>
      <c r="L66" s="137">
        <f t="shared" si="0"/>
        <v>0</v>
      </c>
    </row>
    <row r="67" spans="1:12" ht="12">
      <c r="A67" s="82" t="s">
        <v>17</v>
      </c>
      <c r="B67" s="83" t="s">
        <v>6</v>
      </c>
      <c r="C67" s="83" t="s">
        <v>45</v>
      </c>
      <c r="D67" s="83" t="s">
        <v>65</v>
      </c>
      <c r="E67" s="84" t="s">
        <v>6</v>
      </c>
      <c r="F67" s="84" t="s">
        <v>70</v>
      </c>
      <c r="G67" s="84" t="s">
        <v>175</v>
      </c>
      <c r="H67" s="84"/>
      <c r="I67" s="126">
        <f>I68</f>
        <v>50</v>
      </c>
      <c r="J67" s="123"/>
      <c r="K67" s="134">
        <f>K68</f>
        <v>0</v>
      </c>
      <c r="L67" s="137">
        <f t="shared" si="0"/>
        <v>0</v>
      </c>
    </row>
    <row r="68" spans="1:12" ht="12">
      <c r="A68" s="94" t="s">
        <v>174</v>
      </c>
      <c r="B68" s="83" t="s">
        <v>6</v>
      </c>
      <c r="C68" s="83" t="s">
        <v>45</v>
      </c>
      <c r="D68" s="83" t="s">
        <v>65</v>
      </c>
      <c r="E68" s="84" t="s">
        <v>6</v>
      </c>
      <c r="F68" s="84" t="s">
        <v>70</v>
      </c>
      <c r="G68" s="84" t="s">
        <v>175</v>
      </c>
      <c r="H68" s="84"/>
      <c r="I68" s="126">
        <f>I69</f>
        <v>50</v>
      </c>
      <c r="J68" s="123"/>
      <c r="K68" s="134">
        <f>K69</f>
        <v>0</v>
      </c>
      <c r="L68" s="137">
        <f t="shared" si="0"/>
        <v>0</v>
      </c>
    </row>
    <row r="69" spans="1:12" ht="12">
      <c r="A69" s="82" t="s">
        <v>86</v>
      </c>
      <c r="B69" s="83"/>
      <c r="C69" s="83"/>
      <c r="D69" s="83" t="s">
        <v>65</v>
      </c>
      <c r="E69" s="84" t="s">
        <v>6</v>
      </c>
      <c r="F69" s="84" t="s">
        <v>70</v>
      </c>
      <c r="G69" s="84" t="s">
        <v>175</v>
      </c>
      <c r="H69" s="84" t="s">
        <v>87</v>
      </c>
      <c r="I69" s="126">
        <f>I70</f>
        <v>50</v>
      </c>
      <c r="J69" s="123"/>
      <c r="K69" s="134">
        <f>K70</f>
        <v>0</v>
      </c>
      <c r="L69" s="137">
        <f t="shared" si="0"/>
        <v>0</v>
      </c>
    </row>
    <row r="70" spans="1:12" ht="12">
      <c r="A70" s="82" t="s">
        <v>118</v>
      </c>
      <c r="B70" s="83"/>
      <c r="C70" s="83"/>
      <c r="D70" s="83" t="s">
        <v>65</v>
      </c>
      <c r="E70" s="84" t="s">
        <v>6</v>
      </c>
      <c r="F70" s="84" t="s">
        <v>70</v>
      </c>
      <c r="G70" s="84" t="s">
        <v>175</v>
      </c>
      <c r="H70" s="84" t="s">
        <v>119</v>
      </c>
      <c r="I70" s="126">
        <f>50000/1000</f>
        <v>50</v>
      </c>
      <c r="J70" s="123"/>
      <c r="K70" s="134">
        <v>0</v>
      </c>
      <c r="L70" s="137">
        <f t="shared" si="0"/>
        <v>0</v>
      </c>
    </row>
    <row r="71" spans="1:12" ht="12">
      <c r="A71" s="80" t="s">
        <v>18</v>
      </c>
      <c r="B71" s="81"/>
      <c r="C71" s="81"/>
      <c r="D71" s="81" t="s">
        <v>65</v>
      </c>
      <c r="E71" s="76" t="s">
        <v>6</v>
      </c>
      <c r="F71" s="76" t="s">
        <v>71</v>
      </c>
      <c r="G71" s="76"/>
      <c r="H71" s="76"/>
      <c r="I71" s="122">
        <f>I72+I76+I83</f>
        <v>259.2</v>
      </c>
      <c r="J71" s="123"/>
      <c r="K71" s="124">
        <f>K72+K76+K83</f>
        <v>4</v>
      </c>
      <c r="L71" s="136">
        <f t="shared" si="0"/>
        <v>1.54320987654321</v>
      </c>
    </row>
    <row r="72" spans="1:12" ht="12">
      <c r="A72" s="82" t="s">
        <v>85</v>
      </c>
      <c r="B72" s="83"/>
      <c r="C72" s="83"/>
      <c r="D72" s="83" t="s">
        <v>65</v>
      </c>
      <c r="E72" s="84" t="s">
        <v>6</v>
      </c>
      <c r="F72" s="84" t="s">
        <v>71</v>
      </c>
      <c r="G72" s="84" t="s">
        <v>178</v>
      </c>
      <c r="H72" s="84"/>
      <c r="I72" s="126">
        <f>I73</f>
        <v>259.2</v>
      </c>
      <c r="J72" s="123"/>
      <c r="K72" s="125">
        <f>K73</f>
        <v>4</v>
      </c>
      <c r="L72" s="136">
        <f t="shared" si="0"/>
        <v>1.54320987654321</v>
      </c>
    </row>
    <row r="73" spans="1:12" ht="24">
      <c r="A73" s="82" t="s">
        <v>179</v>
      </c>
      <c r="B73" s="83"/>
      <c r="C73" s="83"/>
      <c r="D73" s="83" t="s">
        <v>65</v>
      </c>
      <c r="E73" s="84" t="s">
        <v>6</v>
      </c>
      <c r="F73" s="84" t="s">
        <v>71</v>
      </c>
      <c r="G73" s="84" t="s">
        <v>178</v>
      </c>
      <c r="H73" s="84"/>
      <c r="I73" s="126">
        <f>I74</f>
        <v>259.2</v>
      </c>
      <c r="J73" s="123"/>
      <c r="K73" s="125">
        <f>K74</f>
        <v>4</v>
      </c>
      <c r="L73" s="136">
        <f t="shared" si="0"/>
        <v>1.54320987654321</v>
      </c>
    </row>
    <row r="74" spans="1:12" ht="24">
      <c r="A74" s="87" t="s">
        <v>227</v>
      </c>
      <c r="B74" s="83"/>
      <c r="C74" s="83"/>
      <c r="D74" s="83" t="s">
        <v>65</v>
      </c>
      <c r="E74" s="84" t="s">
        <v>6</v>
      </c>
      <c r="F74" s="84" t="s">
        <v>71</v>
      </c>
      <c r="G74" s="84" t="s">
        <v>178</v>
      </c>
      <c r="H74" s="84" t="s">
        <v>166</v>
      </c>
      <c r="I74" s="126">
        <f>I75</f>
        <v>259.2</v>
      </c>
      <c r="J74" s="123"/>
      <c r="K74" s="125">
        <f>K75</f>
        <v>4</v>
      </c>
      <c r="L74" s="136">
        <f t="shared" si="0"/>
        <v>1.54320987654321</v>
      </c>
    </row>
    <row r="75" spans="1:12" ht="24">
      <c r="A75" s="85" t="s">
        <v>108</v>
      </c>
      <c r="B75" s="83"/>
      <c r="C75" s="83"/>
      <c r="D75" s="83" t="s">
        <v>65</v>
      </c>
      <c r="E75" s="84" t="s">
        <v>6</v>
      </c>
      <c r="F75" s="84" t="s">
        <v>71</v>
      </c>
      <c r="G75" s="84" t="s">
        <v>178</v>
      </c>
      <c r="H75" s="84" t="s">
        <v>109</v>
      </c>
      <c r="I75" s="126">
        <f>259200/1000</f>
        <v>259.2</v>
      </c>
      <c r="J75" s="123"/>
      <c r="K75" s="125">
        <f>4000/1000</f>
        <v>4</v>
      </c>
      <c r="L75" s="136">
        <f t="shared" si="0"/>
        <v>1.54320987654321</v>
      </c>
    </row>
    <row r="76" spans="1:12" ht="24" hidden="1">
      <c r="A76" s="85" t="s">
        <v>230</v>
      </c>
      <c r="B76" s="83"/>
      <c r="C76" s="83"/>
      <c r="D76" s="83" t="s">
        <v>65</v>
      </c>
      <c r="E76" s="84" t="s">
        <v>6</v>
      </c>
      <c r="F76" s="84" t="s">
        <v>71</v>
      </c>
      <c r="G76" s="84" t="s">
        <v>232</v>
      </c>
      <c r="H76" s="84"/>
      <c r="I76" s="126">
        <f>I77+I80</f>
        <v>0</v>
      </c>
      <c r="J76" s="123"/>
      <c r="K76" s="125">
        <f>K77+K80</f>
        <v>0</v>
      </c>
      <c r="L76" s="136" t="e">
        <f t="shared" si="0"/>
        <v>#DIV/0!</v>
      </c>
    </row>
    <row r="77" spans="1:12" ht="24" hidden="1">
      <c r="A77" s="85" t="s">
        <v>240</v>
      </c>
      <c r="B77" s="83"/>
      <c r="C77" s="83"/>
      <c r="D77" s="83" t="s">
        <v>65</v>
      </c>
      <c r="E77" s="84" t="s">
        <v>6</v>
      </c>
      <c r="F77" s="84" t="s">
        <v>71</v>
      </c>
      <c r="G77" s="84" t="s">
        <v>239</v>
      </c>
      <c r="H77" s="84"/>
      <c r="I77" s="126">
        <f>I78</f>
        <v>0</v>
      </c>
      <c r="J77" s="123"/>
      <c r="K77" s="125">
        <f>K78</f>
        <v>0</v>
      </c>
      <c r="L77" s="136" t="e">
        <f t="shared" si="0"/>
        <v>#DIV/0!</v>
      </c>
    </row>
    <row r="78" spans="1:12" ht="24" hidden="1">
      <c r="A78" s="85" t="s">
        <v>227</v>
      </c>
      <c r="B78" s="83"/>
      <c r="C78" s="83"/>
      <c r="D78" s="83" t="s">
        <v>65</v>
      </c>
      <c r="E78" s="84" t="s">
        <v>6</v>
      </c>
      <c r="F78" s="84" t="s">
        <v>71</v>
      </c>
      <c r="G78" s="84" t="s">
        <v>241</v>
      </c>
      <c r="H78" s="84" t="s">
        <v>166</v>
      </c>
      <c r="I78" s="126">
        <f>I79</f>
        <v>0</v>
      </c>
      <c r="J78" s="123"/>
      <c r="K78" s="125">
        <f>K79</f>
        <v>0</v>
      </c>
      <c r="L78" s="136" t="e">
        <f t="shared" si="0"/>
        <v>#DIV/0!</v>
      </c>
    </row>
    <row r="79" spans="1:12" ht="24" hidden="1">
      <c r="A79" s="85" t="s">
        <v>108</v>
      </c>
      <c r="B79" s="83"/>
      <c r="C79" s="83"/>
      <c r="D79" s="83" t="s">
        <v>65</v>
      </c>
      <c r="E79" s="84" t="s">
        <v>6</v>
      </c>
      <c r="F79" s="84" t="s">
        <v>71</v>
      </c>
      <c r="G79" s="84" t="s">
        <v>239</v>
      </c>
      <c r="H79" s="84" t="s">
        <v>109</v>
      </c>
      <c r="I79" s="126"/>
      <c r="J79" s="123"/>
      <c r="K79" s="125"/>
      <c r="L79" s="136" t="e">
        <f t="shared" si="0"/>
        <v>#DIV/0!</v>
      </c>
    </row>
    <row r="80" spans="1:12" ht="12" hidden="1">
      <c r="A80" s="85" t="s">
        <v>231</v>
      </c>
      <c r="B80" s="83"/>
      <c r="C80" s="83"/>
      <c r="D80" s="83" t="s">
        <v>65</v>
      </c>
      <c r="E80" s="84" t="s">
        <v>6</v>
      </c>
      <c r="F80" s="84" t="s">
        <v>71</v>
      </c>
      <c r="G80" s="84" t="s">
        <v>233</v>
      </c>
      <c r="H80" s="84"/>
      <c r="I80" s="126">
        <f>I81</f>
        <v>0</v>
      </c>
      <c r="J80" s="123"/>
      <c r="K80" s="125">
        <f>K81</f>
        <v>0</v>
      </c>
      <c r="L80" s="136" t="e">
        <f aca="true" t="shared" si="1" ref="L80:L143">K80/I80*100</f>
        <v>#DIV/0!</v>
      </c>
    </row>
    <row r="81" spans="1:12" ht="12" hidden="1">
      <c r="A81" s="95" t="s">
        <v>86</v>
      </c>
      <c r="B81" s="83"/>
      <c r="C81" s="83"/>
      <c r="D81" s="83" t="s">
        <v>65</v>
      </c>
      <c r="E81" s="84" t="s">
        <v>6</v>
      </c>
      <c r="F81" s="84" t="s">
        <v>71</v>
      </c>
      <c r="G81" s="84" t="s">
        <v>234</v>
      </c>
      <c r="H81" s="84" t="s">
        <v>87</v>
      </c>
      <c r="I81" s="126">
        <f>I82</f>
        <v>0</v>
      </c>
      <c r="J81" s="123"/>
      <c r="K81" s="125">
        <f>K82</f>
        <v>0</v>
      </c>
      <c r="L81" s="136" t="e">
        <f t="shared" si="1"/>
        <v>#DIV/0!</v>
      </c>
    </row>
    <row r="82" spans="1:12" ht="12" hidden="1">
      <c r="A82" s="85" t="s">
        <v>214</v>
      </c>
      <c r="B82" s="83"/>
      <c r="C82" s="83"/>
      <c r="D82" s="83" t="s">
        <v>65</v>
      </c>
      <c r="E82" s="84" t="s">
        <v>6</v>
      </c>
      <c r="F82" s="84" t="s">
        <v>71</v>
      </c>
      <c r="G82" s="84" t="s">
        <v>233</v>
      </c>
      <c r="H82" s="84" t="s">
        <v>213</v>
      </c>
      <c r="I82" s="126">
        <v>0</v>
      </c>
      <c r="J82" s="123"/>
      <c r="K82" s="125">
        <v>0</v>
      </c>
      <c r="L82" s="136" t="e">
        <f t="shared" si="1"/>
        <v>#DIV/0!</v>
      </c>
    </row>
    <row r="83" spans="1:12" ht="12" hidden="1">
      <c r="A83" s="82" t="s">
        <v>86</v>
      </c>
      <c r="B83" s="83"/>
      <c r="C83" s="83"/>
      <c r="D83" s="83" t="s">
        <v>65</v>
      </c>
      <c r="E83" s="84" t="s">
        <v>6</v>
      </c>
      <c r="F83" s="84" t="s">
        <v>71</v>
      </c>
      <c r="G83" s="84" t="s">
        <v>233</v>
      </c>
      <c r="H83" s="84" t="s">
        <v>87</v>
      </c>
      <c r="I83" s="126">
        <f>I84</f>
        <v>0</v>
      </c>
      <c r="J83" s="123"/>
      <c r="K83" s="125">
        <f>K84</f>
        <v>0</v>
      </c>
      <c r="L83" s="136" t="e">
        <f t="shared" si="1"/>
        <v>#DIV/0!</v>
      </c>
    </row>
    <row r="84" spans="1:12" ht="12" hidden="1">
      <c r="A84" s="85" t="s">
        <v>214</v>
      </c>
      <c r="B84" s="83"/>
      <c r="C84" s="83"/>
      <c r="D84" s="83" t="s">
        <v>65</v>
      </c>
      <c r="E84" s="84" t="s">
        <v>6</v>
      </c>
      <c r="F84" s="84" t="s">
        <v>71</v>
      </c>
      <c r="G84" s="84" t="s">
        <v>233</v>
      </c>
      <c r="H84" s="84" t="s">
        <v>269</v>
      </c>
      <c r="I84" s="126">
        <v>0</v>
      </c>
      <c r="J84" s="123"/>
      <c r="K84" s="125">
        <v>0</v>
      </c>
      <c r="L84" s="136" t="e">
        <f t="shared" si="1"/>
        <v>#DIV/0!</v>
      </c>
    </row>
    <row r="85" spans="1:12" ht="12">
      <c r="A85" s="80" t="s">
        <v>52</v>
      </c>
      <c r="B85" s="83"/>
      <c r="C85" s="83"/>
      <c r="D85" s="81" t="s">
        <v>65</v>
      </c>
      <c r="E85" s="76" t="s">
        <v>8</v>
      </c>
      <c r="F85" s="76" t="s">
        <v>55</v>
      </c>
      <c r="G85" s="76"/>
      <c r="H85" s="76"/>
      <c r="I85" s="122">
        <f>I86</f>
        <v>387.9</v>
      </c>
      <c r="J85" s="123"/>
      <c r="K85" s="124">
        <f>K86</f>
        <v>51.432640000000006</v>
      </c>
      <c r="L85" s="136">
        <f t="shared" si="1"/>
        <v>13.259252384635218</v>
      </c>
    </row>
    <row r="86" spans="1:12" ht="12">
      <c r="A86" s="80" t="s">
        <v>53</v>
      </c>
      <c r="B86" s="81"/>
      <c r="C86" s="81"/>
      <c r="D86" s="81" t="s">
        <v>65</v>
      </c>
      <c r="E86" s="76" t="s">
        <v>8</v>
      </c>
      <c r="F86" s="76" t="s">
        <v>9</v>
      </c>
      <c r="G86" s="76"/>
      <c r="H86" s="76"/>
      <c r="I86" s="122">
        <f>I87</f>
        <v>387.9</v>
      </c>
      <c r="J86" s="123"/>
      <c r="K86" s="124">
        <f>K87</f>
        <v>51.432640000000006</v>
      </c>
      <c r="L86" s="136">
        <f t="shared" si="1"/>
        <v>13.259252384635218</v>
      </c>
    </row>
    <row r="87" spans="1:12" ht="12">
      <c r="A87" s="88" t="s">
        <v>88</v>
      </c>
      <c r="B87" s="96"/>
      <c r="C87" s="96"/>
      <c r="D87" s="96" t="s">
        <v>65</v>
      </c>
      <c r="E87" s="97" t="s">
        <v>8</v>
      </c>
      <c r="F87" s="97" t="s">
        <v>9</v>
      </c>
      <c r="G87" s="84" t="s">
        <v>224</v>
      </c>
      <c r="H87" s="97"/>
      <c r="I87" s="126">
        <f>I88</f>
        <v>387.9</v>
      </c>
      <c r="J87" s="123"/>
      <c r="K87" s="125">
        <f>K88</f>
        <v>51.432640000000006</v>
      </c>
      <c r="L87" s="136">
        <f t="shared" si="1"/>
        <v>13.259252384635218</v>
      </c>
    </row>
    <row r="88" spans="1:12" ht="48">
      <c r="A88" s="85" t="s">
        <v>83</v>
      </c>
      <c r="B88" s="83"/>
      <c r="C88" s="83"/>
      <c r="D88" s="83" t="s">
        <v>65</v>
      </c>
      <c r="E88" s="84" t="s">
        <v>8</v>
      </c>
      <c r="F88" s="84" t="s">
        <v>9</v>
      </c>
      <c r="G88" s="84" t="s">
        <v>223</v>
      </c>
      <c r="H88" s="84"/>
      <c r="I88" s="126">
        <f>I89+I93</f>
        <v>387.9</v>
      </c>
      <c r="J88" s="123"/>
      <c r="K88" s="125">
        <f>K89+K93</f>
        <v>51.432640000000006</v>
      </c>
      <c r="L88" s="136">
        <f t="shared" si="1"/>
        <v>13.259252384635218</v>
      </c>
    </row>
    <row r="89" spans="1:12" ht="12">
      <c r="A89" s="87" t="s">
        <v>154</v>
      </c>
      <c r="B89" s="83"/>
      <c r="C89" s="83"/>
      <c r="D89" s="83" t="s">
        <v>65</v>
      </c>
      <c r="E89" s="84" t="s">
        <v>8</v>
      </c>
      <c r="F89" s="84" t="s">
        <v>9</v>
      </c>
      <c r="G89" s="84" t="s">
        <v>223</v>
      </c>
      <c r="H89" s="84" t="s">
        <v>100</v>
      </c>
      <c r="I89" s="126">
        <v>370.9</v>
      </c>
      <c r="J89" s="123"/>
      <c r="K89" s="125">
        <f>50437.47/1000</f>
        <v>50.437470000000005</v>
      </c>
      <c r="L89" s="136">
        <f t="shared" si="1"/>
        <v>13.598670800754922</v>
      </c>
    </row>
    <row r="90" spans="1:12" ht="24" hidden="1">
      <c r="A90" s="85" t="s">
        <v>102</v>
      </c>
      <c r="B90" s="83"/>
      <c r="C90" s="83"/>
      <c r="D90" s="83" t="s">
        <v>65</v>
      </c>
      <c r="E90" s="84" t="s">
        <v>8</v>
      </c>
      <c r="F90" s="84" t="s">
        <v>9</v>
      </c>
      <c r="G90" s="84" t="s">
        <v>223</v>
      </c>
      <c r="H90" s="84" t="s">
        <v>99</v>
      </c>
      <c r="I90" s="126">
        <v>0</v>
      </c>
      <c r="J90" s="123"/>
      <c r="K90" s="125">
        <v>0</v>
      </c>
      <c r="L90" s="136" t="e">
        <f t="shared" si="1"/>
        <v>#DIV/0!</v>
      </c>
    </row>
    <row r="91" spans="1:12" ht="24" hidden="1">
      <c r="A91" s="85" t="s">
        <v>106</v>
      </c>
      <c r="B91" s="83"/>
      <c r="C91" s="83"/>
      <c r="D91" s="83" t="s">
        <v>65</v>
      </c>
      <c r="E91" s="84" t="s">
        <v>8</v>
      </c>
      <c r="F91" s="84" t="s">
        <v>9</v>
      </c>
      <c r="G91" s="84" t="s">
        <v>223</v>
      </c>
      <c r="H91" s="84" t="s">
        <v>107</v>
      </c>
      <c r="I91" s="126">
        <v>0</v>
      </c>
      <c r="J91" s="123"/>
      <c r="K91" s="125">
        <v>0</v>
      </c>
      <c r="L91" s="136" t="e">
        <f t="shared" si="1"/>
        <v>#DIV/0!</v>
      </c>
    </row>
    <row r="92" spans="1:12" ht="12" hidden="1">
      <c r="A92" s="85"/>
      <c r="B92" s="83"/>
      <c r="C92" s="83"/>
      <c r="D92" s="83"/>
      <c r="E92" s="84"/>
      <c r="F92" s="84"/>
      <c r="G92" s="84"/>
      <c r="H92" s="84"/>
      <c r="I92" s="126"/>
      <c r="J92" s="123"/>
      <c r="K92" s="125"/>
      <c r="L92" s="136" t="e">
        <f t="shared" si="1"/>
        <v>#DIV/0!</v>
      </c>
    </row>
    <row r="93" spans="1:12" ht="24">
      <c r="A93" s="87" t="s">
        <v>227</v>
      </c>
      <c r="B93" s="83"/>
      <c r="C93" s="83"/>
      <c r="D93" s="83" t="s">
        <v>65</v>
      </c>
      <c r="E93" s="84" t="s">
        <v>8</v>
      </c>
      <c r="F93" s="84" t="s">
        <v>9</v>
      </c>
      <c r="G93" s="84" t="s">
        <v>223</v>
      </c>
      <c r="H93" s="84" t="s">
        <v>166</v>
      </c>
      <c r="I93" s="126">
        <f>I94</f>
        <v>17</v>
      </c>
      <c r="J93" s="123"/>
      <c r="K93" s="125">
        <f>K94</f>
        <v>0.99517</v>
      </c>
      <c r="L93" s="136">
        <f t="shared" si="1"/>
        <v>5.853941176470588</v>
      </c>
    </row>
    <row r="94" spans="1:12" ht="24">
      <c r="A94" s="85" t="s">
        <v>108</v>
      </c>
      <c r="B94" s="83"/>
      <c r="C94" s="83"/>
      <c r="D94" s="83" t="s">
        <v>65</v>
      </c>
      <c r="E94" s="84" t="s">
        <v>8</v>
      </c>
      <c r="F94" s="84" t="s">
        <v>9</v>
      </c>
      <c r="G94" s="84" t="s">
        <v>223</v>
      </c>
      <c r="H94" s="84" t="s">
        <v>109</v>
      </c>
      <c r="I94" s="126">
        <v>17</v>
      </c>
      <c r="J94" s="123"/>
      <c r="K94" s="125">
        <f>995.17/1000</f>
        <v>0.99517</v>
      </c>
      <c r="L94" s="136">
        <f t="shared" si="1"/>
        <v>5.853941176470588</v>
      </c>
    </row>
    <row r="95" spans="1:12" ht="12">
      <c r="A95" s="80" t="s">
        <v>19</v>
      </c>
      <c r="B95" s="83"/>
      <c r="C95" s="83"/>
      <c r="D95" s="81" t="s">
        <v>65</v>
      </c>
      <c r="E95" s="76" t="s">
        <v>9</v>
      </c>
      <c r="F95" s="76"/>
      <c r="G95" s="76"/>
      <c r="H95" s="76"/>
      <c r="I95" s="122">
        <f>I96+I101</f>
        <v>520.1</v>
      </c>
      <c r="J95" s="123"/>
      <c r="K95" s="124">
        <f>K96+K101</f>
        <v>0</v>
      </c>
      <c r="L95" s="136">
        <f t="shared" si="1"/>
        <v>0</v>
      </c>
    </row>
    <row r="96" spans="1:12" ht="24">
      <c r="A96" s="80" t="s">
        <v>69</v>
      </c>
      <c r="B96" s="81"/>
      <c r="C96" s="81"/>
      <c r="D96" s="81" t="s">
        <v>65</v>
      </c>
      <c r="E96" s="76" t="s">
        <v>9</v>
      </c>
      <c r="F96" s="76" t="s">
        <v>20</v>
      </c>
      <c r="G96" s="76"/>
      <c r="H96" s="76"/>
      <c r="I96" s="122">
        <f>I97</f>
        <v>50</v>
      </c>
      <c r="J96" s="123"/>
      <c r="K96" s="124">
        <f>K97</f>
        <v>0</v>
      </c>
      <c r="L96" s="136">
        <f t="shared" si="1"/>
        <v>0</v>
      </c>
    </row>
    <row r="97" spans="1:12" ht="24">
      <c r="A97" s="82" t="s">
        <v>89</v>
      </c>
      <c r="B97" s="83"/>
      <c r="C97" s="83"/>
      <c r="D97" s="83" t="s">
        <v>65</v>
      </c>
      <c r="E97" s="84" t="s">
        <v>9</v>
      </c>
      <c r="F97" s="84" t="s">
        <v>20</v>
      </c>
      <c r="G97" s="84" t="s">
        <v>215</v>
      </c>
      <c r="H97" s="84"/>
      <c r="I97" s="126">
        <f>I98</f>
        <v>50</v>
      </c>
      <c r="J97" s="123"/>
      <c r="K97" s="125">
        <f>K98</f>
        <v>0</v>
      </c>
      <c r="L97" s="136">
        <f t="shared" si="1"/>
        <v>0</v>
      </c>
    </row>
    <row r="98" spans="1:12" ht="24">
      <c r="A98" s="82" t="s">
        <v>68</v>
      </c>
      <c r="B98" s="83"/>
      <c r="C98" s="83"/>
      <c r="D98" s="83" t="s">
        <v>65</v>
      </c>
      <c r="E98" s="84" t="s">
        <v>9</v>
      </c>
      <c r="F98" s="84" t="s">
        <v>20</v>
      </c>
      <c r="G98" s="84" t="s">
        <v>216</v>
      </c>
      <c r="H98" s="84"/>
      <c r="I98" s="126">
        <f>I99</f>
        <v>50</v>
      </c>
      <c r="J98" s="123"/>
      <c r="K98" s="125">
        <f>K99</f>
        <v>0</v>
      </c>
      <c r="L98" s="136">
        <f t="shared" si="1"/>
        <v>0</v>
      </c>
    </row>
    <row r="99" spans="1:12" ht="24">
      <c r="A99" s="87" t="s">
        <v>227</v>
      </c>
      <c r="B99" s="83"/>
      <c r="C99" s="83"/>
      <c r="D99" s="83" t="s">
        <v>65</v>
      </c>
      <c r="E99" s="84" t="s">
        <v>9</v>
      </c>
      <c r="F99" s="84" t="s">
        <v>20</v>
      </c>
      <c r="G99" s="84" t="s">
        <v>216</v>
      </c>
      <c r="H99" s="84" t="s">
        <v>166</v>
      </c>
      <c r="I99" s="126">
        <f>I100</f>
        <v>50</v>
      </c>
      <c r="J99" s="123"/>
      <c r="K99" s="125">
        <f>K100</f>
        <v>0</v>
      </c>
      <c r="L99" s="136">
        <f t="shared" si="1"/>
        <v>0</v>
      </c>
    </row>
    <row r="100" spans="1:12" ht="24">
      <c r="A100" s="85" t="s">
        <v>108</v>
      </c>
      <c r="B100" s="83"/>
      <c r="C100" s="83"/>
      <c r="D100" s="83" t="s">
        <v>65</v>
      </c>
      <c r="E100" s="84" t="s">
        <v>9</v>
      </c>
      <c r="F100" s="84" t="s">
        <v>20</v>
      </c>
      <c r="G100" s="84" t="s">
        <v>216</v>
      </c>
      <c r="H100" s="84" t="s">
        <v>109</v>
      </c>
      <c r="I100" s="126">
        <f>50000/1000</f>
        <v>50</v>
      </c>
      <c r="J100" s="123"/>
      <c r="K100" s="125">
        <v>0</v>
      </c>
      <c r="L100" s="136">
        <f t="shared" si="1"/>
        <v>0</v>
      </c>
    </row>
    <row r="101" spans="1:12" ht="12">
      <c r="A101" s="80" t="s">
        <v>58</v>
      </c>
      <c r="B101" s="81"/>
      <c r="C101" s="81"/>
      <c r="D101" s="81" t="s">
        <v>65</v>
      </c>
      <c r="E101" s="76" t="s">
        <v>9</v>
      </c>
      <c r="F101" s="76" t="s">
        <v>48</v>
      </c>
      <c r="G101" s="76"/>
      <c r="H101" s="76"/>
      <c r="I101" s="122">
        <f>I102</f>
        <v>470.1</v>
      </c>
      <c r="J101" s="123"/>
      <c r="K101" s="124">
        <f>K102</f>
        <v>0</v>
      </c>
      <c r="L101" s="136">
        <f t="shared" si="1"/>
        <v>0</v>
      </c>
    </row>
    <row r="102" spans="1:12" ht="24">
      <c r="A102" s="98" t="s">
        <v>182</v>
      </c>
      <c r="B102" s="83"/>
      <c r="C102" s="83"/>
      <c r="D102" s="83" t="s">
        <v>65</v>
      </c>
      <c r="E102" s="84" t="s">
        <v>9</v>
      </c>
      <c r="F102" s="84" t="s">
        <v>48</v>
      </c>
      <c r="G102" s="84" t="s">
        <v>180</v>
      </c>
      <c r="H102" s="84"/>
      <c r="I102" s="126">
        <f>I103</f>
        <v>470.1</v>
      </c>
      <c r="J102" s="123"/>
      <c r="K102" s="125">
        <f>K103</f>
        <v>0</v>
      </c>
      <c r="L102" s="136">
        <f t="shared" si="1"/>
        <v>0</v>
      </c>
    </row>
    <row r="103" spans="1:12" ht="24">
      <c r="A103" s="98" t="s">
        <v>90</v>
      </c>
      <c r="B103" s="83"/>
      <c r="C103" s="83"/>
      <c r="D103" s="83" t="s">
        <v>65</v>
      </c>
      <c r="E103" s="84" t="s">
        <v>9</v>
      </c>
      <c r="F103" s="84" t="s">
        <v>48</v>
      </c>
      <c r="G103" s="84" t="s">
        <v>181</v>
      </c>
      <c r="H103" s="84"/>
      <c r="I103" s="126">
        <f>I104</f>
        <v>470.1</v>
      </c>
      <c r="J103" s="123"/>
      <c r="K103" s="125">
        <f>K104</f>
        <v>0</v>
      </c>
      <c r="L103" s="136">
        <f t="shared" si="1"/>
        <v>0</v>
      </c>
    </row>
    <row r="104" spans="1:12" ht="24">
      <c r="A104" s="87" t="s">
        <v>162</v>
      </c>
      <c r="B104" s="83"/>
      <c r="C104" s="83"/>
      <c r="D104" s="83" t="s">
        <v>65</v>
      </c>
      <c r="E104" s="84" t="s">
        <v>9</v>
      </c>
      <c r="F104" s="84" t="s">
        <v>48</v>
      </c>
      <c r="G104" s="84" t="s">
        <v>181</v>
      </c>
      <c r="H104" s="84" t="s">
        <v>166</v>
      </c>
      <c r="I104" s="126">
        <f>I105</f>
        <v>470.1</v>
      </c>
      <c r="J104" s="123"/>
      <c r="K104" s="125">
        <f>K105</f>
        <v>0</v>
      </c>
      <c r="L104" s="136">
        <f t="shared" si="1"/>
        <v>0</v>
      </c>
    </row>
    <row r="105" spans="1:12" ht="24">
      <c r="A105" s="85" t="s">
        <v>108</v>
      </c>
      <c r="B105" s="83"/>
      <c r="C105" s="83"/>
      <c r="D105" s="83" t="s">
        <v>65</v>
      </c>
      <c r="E105" s="84" t="s">
        <v>9</v>
      </c>
      <c r="F105" s="84" t="s">
        <v>48</v>
      </c>
      <c r="G105" s="84" t="s">
        <v>181</v>
      </c>
      <c r="H105" s="84" t="s">
        <v>109</v>
      </c>
      <c r="I105" s="126">
        <f>570100/1000-100000/1000</f>
        <v>470.1</v>
      </c>
      <c r="J105" s="123"/>
      <c r="K105" s="125">
        <v>0</v>
      </c>
      <c r="L105" s="136">
        <f t="shared" si="1"/>
        <v>0</v>
      </c>
    </row>
    <row r="106" spans="1:12" ht="12">
      <c r="A106" s="80" t="s">
        <v>21</v>
      </c>
      <c r="B106" s="81"/>
      <c r="C106" s="81"/>
      <c r="D106" s="81" t="s">
        <v>65</v>
      </c>
      <c r="E106" s="76" t="s">
        <v>11</v>
      </c>
      <c r="F106" s="76"/>
      <c r="G106" s="76"/>
      <c r="H106" s="76"/>
      <c r="I106" s="122">
        <f>I107+I118</f>
        <v>3989.86962</v>
      </c>
      <c r="J106" s="123"/>
      <c r="K106" s="124">
        <f>K107+K118</f>
        <v>761.36</v>
      </c>
      <c r="L106" s="136">
        <f t="shared" si="1"/>
        <v>19.08232780799489</v>
      </c>
    </row>
    <row r="107" spans="1:12" ht="12">
      <c r="A107" s="80" t="s">
        <v>75</v>
      </c>
      <c r="B107" s="81"/>
      <c r="C107" s="81"/>
      <c r="D107" s="81" t="s">
        <v>65</v>
      </c>
      <c r="E107" s="76" t="s">
        <v>11</v>
      </c>
      <c r="F107" s="76" t="s">
        <v>20</v>
      </c>
      <c r="G107" s="76"/>
      <c r="H107" s="76"/>
      <c r="I107" s="122">
        <f>I108+I112</f>
        <v>3897.86962</v>
      </c>
      <c r="J107" s="123"/>
      <c r="K107" s="124">
        <f>K108+K112</f>
        <v>750.36</v>
      </c>
      <c r="L107" s="136">
        <f t="shared" si="1"/>
        <v>19.25051561883694</v>
      </c>
    </row>
    <row r="108" spans="1:12" ht="24">
      <c r="A108" s="88" t="s">
        <v>242</v>
      </c>
      <c r="B108" s="81"/>
      <c r="C108" s="81"/>
      <c r="D108" s="83" t="s">
        <v>65</v>
      </c>
      <c r="E108" s="84" t="s">
        <v>11</v>
      </c>
      <c r="F108" s="84" t="s">
        <v>20</v>
      </c>
      <c r="G108" s="84" t="s">
        <v>186</v>
      </c>
      <c r="H108" s="84"/>
      <c r="I108" s="126">
        <f>I109+I115</f>
        <v>3897.86962</v>
      </c>
      <c r="J108" s="123"/>
      <c r="K108" s="125">
        <f>K109+K115</f>
        <v>750.36</v>
      </c>
      <c r="L108" s="136">
        <f t="shared" si="1"/>
        <v>19.25051561883694</v>
      </c>
    </row>
    <row r="109" spans="1:12" ht="24">
      <c r="A109" s="88" t="s">
        <v>284</v>
      </c>
      <c r="B109" s="81"/>
      <c r="C109" s="81"/>
      <c r="D109" s="83" t="s">
        <v>65</v>
      </c>
      <c r="E109" s="84" t="s">
        <v>11</v>
      </c>
      <c r="F109" s="84" t="s">
        <v>20</v>
      </c>
      <c r="G109" s="84" t="s">
        <v>187</v>
      </c>
      <c r="H109" s="76"/>
      <c r="I109" s="126">
        <f>I110</f>
        <v>3377.99462</v>
      </c>
      <c r="J109" s="123"/>
      <c r="K109" s="125">
        <f>K110</f>
        <v>750.36</v>
      </c>
      <c r="L109" s="136">
        <f t="shared" si="1"/>
        <v>22.213179250119705</v>
      </c>
    </row>
    <row r="110" spans="1:12" ht="24">
      <c r="A110" s="82" t="s">
        <v>185</v>
      </c>
      <c r="B110" s="81"/>
      <c r="C110" s="81"/>
      <c r="D110" s="83" t="s">
        <v>65</v>
      </c>
      <c r="E110" s="84" t="s">
        <v>11</v>
      </c>
      <c r="F110" s="84" t="s">
        <v>20</v>
      </c>
      <c r="G110" s="84" t="s">
        <v>187</v>
      </c>
      <c r="H110" s="84" t="s">
        <v>166</v>
      </c>
      <c r="I110" s="126">
        <f>I111</f>
        <v>3377.99462</v>
      </c>
      <c r="J110" s="123"/>
      <c r="K110" s="125">
        <f>K111</f>
        <v>750.36</v>
      </c>
      <c r="L110" s="136">
        <f t="shared" si="1"/>
        <v>22.213179250119705</v>
      </c>
    </row>
    <row r="111" spans="1:12" ht="24">
      <c r="A111" s="82" t="s">
        <v>108</v>
      </c>
      <c r="B111" s="81"/>
      <c r="C111" s="81"/>
      <c r="D111" s="83" t="s">
        <v>65</v>
      </c>
      <c r="E111" s="84" t="s">
        <v>11</v>
      </c>
      <c r="F111" s="84" t="s">
        <v>20</v>
      </c>
      <c r="G111" s="84" t="s">
        <v>187</v>
      </c>
      <c r="H111" s="84" t="s">
        <v>109</v>
      </c>
      <c r="I111" s="126">
        <f>2905507/1000+472487.62/1000</f>
        <v>3377.99462</v>
      </c>
      <c r="J111" s="123"/>
      <c r="K111" s="125">
        <f>750360/1000</f>
        <v>750.36</v>
      </c>
      <c r="L111" s="136">
        <f t="shared" si="1"/>
        <v>22.213179250119705</v>
      </c>
    </row>
    <row r="112" spans="1:12" ht="72" hidden="1">
      <c r="A112" s="85" t="s">
        <v>218</v>
      </c>
      <c r="B112" s="83"/>
      <c r="C112" s="83"/>
      <c r="D112" s="83" t="s">
        <v>65</v>
      </c>
      <c r="E112" s="84" t="s">
        <v>11</v>
      </c>
      <c r="F112" s="84" t="s">
        <v>20</v>
      </c>
      <c r="G112" s="97" t="s">
        <v>219</v>
      </c>
      <c r="H112" s="84"/>
      <c r="I112" s="126">
        <f>I113</f>
        <v>0</v>
      </c>
      <c r="J112" s="123"/>
      <c r="K112" s="125">
        <f>K113</f>
        <v>0</v>
      </c>
      <c r="L112" s="136" t="e">
        <f t="shared" si="1"/>
        <v>#DIV/0!</v>
      </c>
    </row>
    <row r="113" spans="1:12" ht="24" hidden="1">
      <c r="A113" s="82" t="s">
        <v>185</v>
      </c>
      <c r="B113" s="83"/>
      <c r="C113" s="83"/>
      <c r="D113" s="83" t="s">
        <v>65</v>
      </c>
      <c r="E113" s="84" t="s">
        <v>11</v>
      </c>
      <c r="F113" s="84" t="s">
        <v>20</v>
      </c>
      <c r="G113" s="97" t="s">
        <v>219</v>
      </c>
      <c r="H113" s="84" t="s">
        <v>166</v>
      </c>
      <c r="I113" s="126">
        <f>I114</f>
        <v>0</v>
      </c>
      <c r="J113" s="123"/>
      <c r="K113" s="125">
        <f>K114</f>
        <v>0</v>
      </c>
      <c r="L113" s="136" t="e">
        <f t="shared" si="1"/>
        <v>#DIV/0!</v>
      </c>
    </row>
    <row r="114" spans="1:12" ht="24" hidden="1">
      <c r="A114" s="85" t="s">
        <v>108</v>
      </c>
      <c r="B114" s="83"/>
      <c r="C114" s="83"/>
      <c r="D114" s="83" t="s">
        <v>65</v>
      </c>
      <c r="E114" s="84" t="s">
        <v>11</v>
      </c>
      <c r="F114" s="84" t="s">
        <v>20</v>
      </c>
      <c r="G114" s="97" t="s">
        <v>219</v>
      </c>
      <c r="H114" s="84" t="s">
        <v>109</v>
      </c>
      <c r="I114" s="126">
        <v>0</v>
      </c>
      <c r="J114" s="123"/>
      <c r="K114" s="125">
        <v>0</v>
      </c>
      <c r="L114" s="136" t="e">
        <f t="shared" si="1"/>
        <v>#DIV/0!</v>
      </c>
    </row>
    <row r="115" spans="1:12" ht="36">
      <c r="A115" s="88" t="s">
        <v>285</v>
      </c>
      <c r="B115" s="81"/>
      <c r="C115" s="81"/>
      <c r="D115" s="83" t="s">
        <v>65</v>
      </c>
      <c r="E115" s="84" t="s">
        <v>11</v>
      </c>
      <c r="F115" s="84" t="s">
        <v>20</v>
      </c>
      <c r="G115" s="84" t="s">
        <v>243</v>
      </c>
      <c r="H115" s="76"/>
      <c r="I115" s="126">
        <f>I116</f>
        <v>519.875</v>
      </c>
      <c r="J115" s="123"/>
      <c r="K115" s="125">
        <f>K116</f>
        <v>0</v>
      </c>
      <c r="L115" s="136">
        <f t="shared" si="1"/>
        <v>0</v>
      </c>
    </row>
    <row r="116" spans="1:12" ht="24">
      <c r="A116" s="82" t="s">
        <v>185</v>
      </c>
      <c r="B116" s="81"/>
      <c r="C116" s="81"/>
      <c r="D116" s="83" t="s">
        <v>65</v>
      </c>
      <c r="E116" s="84" t="s">
        <v>11</v>
      </c>
      <c r="F116" s="84" t="s">
        <v>20</v>
      </c>
      <c r="G116" s="84" t="s">
        <v>243</v>
      </c>
      <c r="H116" s="84" t="s">
        <v>166</v>
      </c>
      <c r="I116" s="126">
        <f>I117</f>
        <v>519.875</v>
      </c>
      <c r="J116" s="123"/>
      <c r="K116" s="125">
        <f>K117</f>
        <v>0</v>
      </c>
      <c r="L116" s="136">
        <f t="shared" si="1"/>
        <v>0</v>
      </c>
    </row>
    <row r="117" spans="1:12" ht="24">
      <c r="A117" s="82" t="s">
        <v>108</v>
      </c>
      <c r="B117" s="81"/>
      <c r="C117" s="81"/>
      <c r="D117" s="83" t="s">
        <v>65</v>
      </c>
      <c r="E117" s="84" t="s">
        <v>11</v>
      </c>
      <c r="F117" s="84" t="s">
        <v>20</v>
      </c>
      <c r="G117" s="84" t="s">
        <v>243</v>
      </c>
      <c r="H117" s="84" t="s">
        <v>109</v>
      </c>
      <c r="I117" s="126">
        <f>444875/1000+75000/1000</f>
        <v>519.875</v>
      </c>
      <c r="J117" s="123"/>
      <c r="K117" s="125">
        <v>0</v>
      </c>
      <c r="L117" s="136">
        <f t="shared" si="1"/>
        <v>0</v>
      </c>
    </row>
    <row r="118" spans="1:12" ht="12">
      <c r="A118" s="99" t="s">
        <v>22</v>
      </c>
      <c r="B118" s="83"/>
      <c r="C118" s="83"/>
      <c r="D118" s="81" t="s">
        <v>65</v>
      </c>
      <c r="E118" s="76" t="s">
        <v>11</v>
      </c>
      <c r="F118" s="76" t="s">
        <v>45</v>
      </c>
      <c r="G118" s="76"/>
      <c r="H118" s="76"/>
      <c r="I118" s="122">
        <f>I119</f>
        <v>92</v>
      </c>
      <c r="J118" s="123"/>
      <c r="K118" s="124">
        <f>K119</f>
        <v>11</v>
      </c>
      <c r="L118" s="136">
        <f t="shared" si="1"/>
        <v>11.956521739130435</v>
      </c>
    </row>
    <row r="119" spans="1:12" ht="12">
      <c r="A119" s="85" t="s">
        <v>121</v>
      </c>
      <c r="B119" s="83"/>
      <c r="C119" s="83"/>
      <c r="D119" s="83" t="s">
        <v>65</v>
      </c>
      <c r="E119" s="84" t="s">
        <v>11</v>
      </c>
      <c r="F119" s="84" t="s">
        <v>45</v>
      </c>
      <c r="G119" s="84" t="s">
        <v>183</v>
      </c>
      <c r="H119" s="76"/>
      <c r="I119" s="126">
        <f>I120</f>
        <v>92</v>
      </c>
      <c r="J119" s="123"/>
      <c r="K119" s="125">
        <f>K120</f>
        <v>11</v>
      </c>
      <c r="L119" s="136">
        <f t="shared" si="1"/>
        <v>11.956521739130435</v>
      </c>
    </row>
    <row r="120" spans="1:12" ht="12">
      <c r="A120" s="85" t="s">
        <v>67</v>
      </c>
      <c r="B120" s="83"/>
      <c r="C120" s="83"/>
      <c r="D120" s="83" t="s">
        <v>65</v>
      </c>
      <c r="E120" s="84" t="s">
        <v>11</v>
      </c>
      <c r="F120" s="84" t="s">
        <v>45</v>
      </c>
      <c r="G120" s="84" t="s">
        <v>184</v>
      </c>
      <c r="H120" s="76"/>
      <c r="I120" s="126">
        <f>I121</f>
        <v>92</v>
      </c>
      <c r="J120" s="123"/>
      <c r="K120" s="125">
        <f>K121</f>
        <v>11</v>
      </c>
      <c r="L120" s="136">
        <f t="shared" si="1"/>
        <v>11.956521739130435</v>
      </c>
    </row>
    <row r="121" spans="1:12" ht="24">
      <c r="A121" s="87" t="s">
        <v>227</v>
      </c>
      <c r="B121" s="83"/>
      <c r="C121" s="83"/>
      <c r="D121" s="83" t="s">
        <v>65</v>
      </c>
      <c r="E121" s="84" t="s">
        <v>11</v>
      </c>
      <c r="F121" s="84" t="s">
        <v>45</v>
      </c>
      <c r="G121" s="84" t="s">
        <v>184</v>
      </c>
      <c r="H121" s="84" t="s">
        <v>166</v>
      </c>
      <c r="I121" s="126">
        <f>I122</f>
        <v>92</v>
      </c>
      <c r="J121" s="123"/>
      <c r="K121" s="125">
        <f>K122</f>
        <v>11</v>
      </c>
      <c r="L121" s="136">
        <f t="shared" si="1"/>
        <v>11.956521739130435</v>
      </c>
    </row>
    <row r="122" spans="1:12" ht="24">
      <c r="A122" s="85" t="s">
        <v>108</v>
      </c>
      <c r="B122" s="83"/>
      <c r="C122" s="83"/>
      <c r="D122" s="83" t="s">
        <v>65</v>
      </c>
      <c r="E122" s="84" t="s">
        <v>11</v>
      </c>
      <c r="F122" s="84" t="s">
        <v>45</v>
      </c>
      <c r="G122" s="84" t="s">
        <v>184</v>
      </c>
      <c r="H122" s="84" t="s">
        <v>109</v>
      </c>
      <c r="I122" s="126">
        <f>92000/1000</f>
        <v>92</v>
      </c>
      <c r="J122" s="123"/>
      <c r="K122" s="125">
        <f>11000/1000</f>
        <v>11</v>
      </c>
      <c r="L122" s="136">
        <f t="shared" si="1"/>
        <v>11.956521739130435</v>
      </c>
    </row>
    <row r="123" spans="1:12" ht="12" hidden="1">
      <c r="A123" s="85" t="s">
        <v>135</v>
      </c>
      <c r="B123" s="83"/>
      <c r="C123" s="83"/>
      <c r="D123" s="83" t="s">
        <v>65</v>
      </c>
      <c r="E123" s="84" t="s">
        <v>11</v>
      </c>
      <c r="F123" s="84" t="s">
        <v>45</v>
      </c>
      <c r="G123" s="84" t="s">
        <v>139</v>
      </c>
      <c r="H123" s="84"/>
      <c r="I123" s="126"/>
      <c r="J123" s="123"/>
      <c r="K123" s="125"/>
      <c r="L123" s="136" t="e">
        <f t="shared" si="1"/>
        <v>#DIV/0!</v>
      </c>
    </row>
    <row r="124" spans="1:12" ht="24" hidden="1">
      <c r="A124" s="85" t="s">
        <v>108</v>
      </c>
      <c r="B124" s="83"/>
      <c r="C124" s="83"/>
      <c r="D124" s="83" t="s">
        <v>65</v>
      </c>
      <c r="E124" s="84" t="s">
        <v>11</v>
      </c>
      <c r="F124" s="84" t="s">
        <v>45</v>
      </c>
      <c r="G124" s="84" t="s">
        <v>140</v>
      </c>
      <c r="H124" s="84" t="s">
        <v>109</v>
      </c>
      <c r="I124" s="126">
        <f>I125</f>
        <v>0</v>
      </c>
      <c r="J124" s="123"/>
      <c r="K124" s="125">
        <f>K125</f>
        <v>0</v>
      </c>
      <c r="L124" s="136" t="e">
        <f t="shared" si="1"/>
        <v>#DIV/0!</v>
      </c>
    </row>
    <row r="125" spans="1:12" ht="24" hidden="1">
      <c r="A125" s="85" t="s">
        <v>110</v>
      </c>
      <c r="B125" s="83"/>
      <c r="C125" s="83"/>
      <c r="D125" s="83" t="s">
        <v>65</v>
      </c>
      <c r="E125" s="84" t="s">
        <v>11</v>
      </c>
      <c r="F125" s="84" t="s">
        <v>45</v>
      </c>
      <c r="G125" s="84" t="s">
        <v>140</v>
      </c>
      <c r="H125" s="84" t="s">
        <v>111</v>
      </c>
      <c r="I125" s="126"/>
      <c r="J125" s="123"/>
      <c r="K125" s="125"/>
      <c r="L125" s="136" t="e">
        <f t="shared" si="1"/>
        <v>#DIV/0!</v>
      </c>
    </row>
    <row r="126" spans="1:12" ht="12">
      <c r="A126" s="100" t="s">
        <v>23</v>
      </c>
      <c r="B126" s="83"/>
      <c r="C126" s="81" t="s">
        <v>80</v>
      </c>
      <c r="D126" s="81" t="s">
        <v>65</v>
      </c>
      <c r="E126" s="76" t="s">
        <v>24</v>
      </c>
      <c r="F126" s="76"/>
      <c r="G126" s="76"/>
      <c r="H126" s="76"/>
      <c r="I126" s="122">
        <f>I127+I141+I157</f>
        <v>13181.67355</v>
      </c>
      <c r="J126" s="123"/>
      <c r="K126" s="124">
        <f>K127+K141+K157</f>
        <v>2283.33735</v>
      </c>
      <c r="L126" s="136">
        <f t="shared" si="1"/>
        <v>17.32205961055681</v>
      </c>
    </row>
    <row r="127" spans="1:12" ht="12">
      <c r="A127" s="80" t="s">
        <v>47</v>
      </c>
      <c r="B127" s="81" t="s">
        <v>80</v>
      </c>
      <c r="C127" s="81" t="s">
        <v>80</v>
      </c>
      <c r="D127" s="81" t="s">
        <v>65</v>
      </c>
      <c r="E127" s="76" t="s">
        <v>24</v>
      </c>
      <c r="F127" s="76" t="s">
        <v>6</v>
      </c>
      <c r="G127" s="76"/>
      <c r="H127" s="76"/>
      <c r="I127" s="122">
        <f>I133</f>
        <v>5285</v>
      </c>
      <c r="J127" s="123"/>
      <c r="K127" s="124">
        <f>K133</f>
        <v>1399.06646</v>
      </c>
      <c r="L127" s="136">
        <f t="shared" si="1"/>
        <v>26.472402270577106</v>
      </c>
    </row>
    <row r="128" spans="1:12" ht="36" hidden="1">
      <c r="A128" s="86" t="s">
        <v>161</v>
      </c>
      <c r="B128" s="81"/>
      <c r="C128" s="81"/>
      <c r="D128" s="83" t="s">
        <v>65</v>
      </c>
      <c r="E128" s="84" t="s">
        <v>24</v>
      </c>
      <c r="F128" s="84" t="s">
        <v>6</v>
      </c>
      <c r="G128" s="84" t="s">
        <v>188</v>
      </c>
      <c r="H128" s="76"/>
      <c r="I128" s="122"/>
      <c r="J128" s="123"/>
      <c r="K128" s="124"/>
      <c r="L128" s="136" t="e">
        <f t="shared" si="1"/>
        <v>#DIV/0!</v>
      </c>
    </row>
    <row r="129" spans="1:12" ht="24" hidden="1">
      <c r="A129" s="88" t="s">
        <v>177</v>
      </c>
      <c r="B129" s="81"/>
      <c r="C129" s="81"/>
      <c r="D129" s="83" t="s">
        <v>65</v>
      </c>
      <c r="E129" s="84" t="s">
        <v>24</v>
      </c>
      <c r="F129" s="84" t="s">
        <v>6</v>
      </c>
      <c r="G129" s="84" t="s">
        <v>189</v>
      </c>
      <c r="H129" s="84"/>
      <c r="I129" s="122"/>
      <c r="J129" s="123"/>
      <c r="K129" s="124"/>
      <c r="L129" s="136" t="e">
        <f t="shared" si="1"/>
        <v>#DIV/0!</v>
      </c>
    </row>
    <row r="130" spans="1:12" ht="24" hidden="1">
      <c r="A130" s="87" t="s">
        <v>162</v>
      </c>
      <c r="B130" s="81"/>
      <c r="C130" s="81"/>
      <c r="D130" s="83" t="s">
        <v>65</v>
      </c>
      <c r="E130" s="84" t="s">
        <v>24</v>
      </c>
      <c r="F130" s="84" t="s">
        <v>6</v>
      </c>
      <c r="G130" s="84" t="s">
        <v>189</v>
      </c>
      <c r="H130" s="84" t="s">
        <v>166</v>
      </c>
      <c r="I130" s="122"/>
      <c r="J130" s="123"/>
      <c r="K130" s="124"/>
      <c r="L130" s="136" t="e">
        <f t="shared" si="1"/>
        <v>#DIV/0!</v>
      </c>
    </row>
    <row r="131" spans="1:12" ht="24" hidden="1">
      <c r="A131" s="87" t="s">
        <v>163</v>
      </c>
      <c r="B131" s="81"/>
      <c r="C131" s="81"/>
      <c r="D131" s="83" t="s">
        <v>65</v>
      </c>
      <c r="E131" s="84" t="s">
        <v>24</v>
      </c>
      <c r="F131" s="84" t="s">
        <v>6</v>
      </c>
      <c r="G131" s="84" t="s">
        <v>189</v>
      </c>
      <c r="H131" s="84" t="s">
        <v>109</v>
      </c>
      <c r="I131" s="122"/>
      <c r="J131" s="123"/>
      <c r="K131" s="124"/>
      <c r="L131" s="136" t="e">
        <f t="shared" si="1"/>
        <v>#DIV/0!</v>
      </c>
    </row>
    <row r="132" spans="1:12" ht="12">
      <c r="A132" s="101" t="s">
        <v>247</v>
      </c>
      <c r="B132" s="81"/>
      <c r="C132" s="81"/>
      <c r="D132" s="83" t="s">
        <v>65</v>
      </c>
      <c r="E132" s="84" t="s">
        <v>24</v>
      </c>
      <c r="F132" s="84" t="s">
        <v>6</v>
      </c>
      <c r="G132" s="84" t="s">
        <v>246</v>
      </c>
      <c r="H132" s="84"/>
      <c r="I132" s="122">
        <f>I133</f>
        <v>5285</v>
      </c>
      <c r="J132" s="123"/>
      <c r="K132" s="124">
        <f>K133</f>
        <v>1399.06646</v>
      </c>
      <c r="L132" s="136">
        <f t="shared" si="1"/>
        <v>26.472402270577106</v>
      </c>
    </row>
    <row r="133" spans="1:12" ht="12">
      <c r="A133" s="101" t="s">
        <v>92</v>
      </c>
      <c r="B133" s="81"/>
      <c r="C133" s="81"/>
      <c r="D133" s="83" t="s">
        <v>65</v>
      </c>
      <c r="E133" s="84" t="s">
        <v>24</v>
      </c>
      <c r="F133" s="84" t="s">
        <v>6</v>
      </c>
      <c r="G133" s="84" t="s">
        <v>190</v>
      </c>
      <c r="H133" s="84"/>
      <c r="I133" s="122">
        <f>I134</f>
        <v>5285</v>
      </c>
      <c r="J133" s="123"/>
      <c r="K133" s="124">
        <f>K134</f>
        <v>1399.06646</v>
      </c>
      <c r="L133" s="136">
        <f t="shared" si="1"/>
        <v>26.472402270577106</v>
      </c>
    </row>
    <row r="134" spans="1:12" ht="12">
      <c r="A134" s="101" t="s">
        <v>91</v>
      </c>
      <c r="B134" s="83" t="s">
        <v>80</v>
      </c>
      <c r="C134" s="83" t="s">
        <v>80</v>
      </c>
      <c r="D134" s="83" t="s">
        <v>65</v>
      </c>
      <c r="E134" s="84" t="s">
        <v>24</v>
      </c>
      <c r="F134" s="84" t="s">
        <v>6</v>
      </c>
      <c r="G134" s="84" t="s">
        <v>190</v>
      </c>
      <c r="H134" s="84"/>
      <c r="I134" s="126">
        <f>I135+I139</f>
        <v>5285</v>
      </c>
      <c r="J134" s="123"/>
      <c r="K134" s="125">
        <f>K135+K139</f>
        <v>1399.06646</v>
      </c>
      <c r="L134" s="136">
        <f t="shared" si="1"/>
        <v>26.472402270577106</v>
      </c>
    </row>
    <row r="135" spans="1:12" ht="24">
      <c r="A135" s="102" t="s">
        <v>227</v>
      </c>
      <c r="B135" s="83"/>
      <c r="C135" s="83" t="s">
        <v>80</v>
      </c>
      <c r="D135" s="83" t="s">
        <v>65</v>
      </c>
      <c r="E135" s="84" t="s">
        <v>24</v>
      </c>
      <c r="F135" s="84" t="s">
        <v>6</v>
      </c>
      <c r="G135" s="84" t="s">
        <v>190</v>
      </c>
      <c r="H135" s="84" t="s">
        <v>166</v>
      </c>
      <c r="I135" s="126">
        <f>I136</f>
        <v>5285</v>
      </c>
      <c r="J135" s="123"/>
      <c r="K135" s="125">
        <f>K136</f>
        <v>1399.06646</v>
      </c>
      <c r="L135" s="136">
        <f t="shared" si="1"/>
        <v>26.472402270577106</v>
      </c>
    </row>
    <row r="136" spans="1:12" ht="24">
      <c r="A136" s="101" t="s">
        <v>108</v>
      </c>
      <c r="B136" s="83"/>
      <c r="C136" s="83"/>
      <c r="D136" s="83" t="s">
        <v>65</v>
      </c>
      <c r="E136" s="84" t="s">
        <v>24</v>
      </c>
      <c r="F136" s="84" t="s">
        <v>6</v>
      </c>
      <c r="G136" s="84" t="s">
        <v>190</v>
      </c>
      <c r="H136" s="84" t="s">
        <v>109</v>
      </c>
      <c r="I136" s="126">
        <f>5285000/1000</f>
        <v>5285</v>
      </c>
      <c r="J136" s="123"/>
      <c r="K136" s="125">
        <f>1399066.46/1000</f>
        <v>1399.06646</v>
      </c>
      <c r="L136" s="136">
        <f t="shared" si="1"/>
        <v>26.472402270577106</v>
      </c>
    </row>
    <row r="137" spans="1:12" ht="24" hidden="1">
      <c r="A137" s="102" t="s">
        <v>191</v>
      </c>
      <c r="B137" s="83"/>
      <c r="C137" s="83"/>
      <c r="D137" s="83" t="s">
        <v>65</v>
      </c>
      <c r="E137" s="84" t="s">
        <v>24</v>
      </c>
      <c r="F137" s="84" t="s">
        <v>6</v>
      </c>
      <c r="G137" s="84" t="s">
        <v>190</v>
      </c>
      <c r="H137" s="84" t="s">
        <v>192</v>
      </c>
      <c r="I137" s="126"/>
      <c r="J137" s="123"/>
      <c r="K137" s="125"/>
      <c r="L137" s="136" t="e">
        <f t="shared" si="1"/>
        <v>#DIV/0!</v>
      </c>
    </row>
    <row r="138" spans="1:12" ht="24" hidden="1">
      <c r="A138" s="103" t="s">
        <v>228</v>
      </c>
      <c r="B138" s="83"/>
      <c r="C138" s="83"/>
      <c r="D138" s="83" t="s">
        <v>65</v>
      </c>
      <c r="E138" s="84" t="s">
        <v>24</v>
      </c>
      <c r="F138" s="84" t="s">
        <v>6</v>
      </c>
      <c r="G138" s="84" t="s">
        <v>190</v>
      </c>
      <c r="H138" s="84" t="s">
        <v>111</v>
      </c>
      <c r="I138" s="126"/>
      <c r="J138" s="123"/>
      <c r="K138" s="125"/>
      <c r="L138" s="136" t="e">
        <f t="shared" si="1"/>
        <v>#DIV/0!</v>
      </c>
    </row>
    <row r="139" spans="1:12" ht="24" hidden="1">
      <c r="A139" s="103" t="s">
        <v>220</v>
      </c>
      <c r="B139" s="83"/>
      <c r="C139" s="83"/>
      <c r="D139" s="83" t="s">
        <v>65</v>
      </c>
      <c r="E139" s="84" t="s">
        <v>24</v>
      </c>
      <c r="F139" s="84" t="s">
        <v>6</v>
      </c>
      <c r="G139" s="84" t="s">
        <v>190</v>
      </c>
      <c r="H139" s="84" t="s">
        <v>145</v>
      </c>
      <c r="I139" s="126">
        <f>I140</f>
        <v>0</v>
      </c>
      <c r="J139" s="123"/>
      <c r="K139" s="125">
        <f>K140</f>
        <v>0</v>
      </c>
      <c r="L139" s="136" t="e">
        <f t="shared" si="1"/>
        <v>#DIV/0!</v>
      </c>
    </row>
    <row r="140" spans="1:12" ht="24" hidden="1">
      <c r="A140" s="103" t="s">
        <v>144</v>
      </c>
      <c r="B140" s="83"/>
      <c r="C140" s="83"/>
      <c r="D140" s="83" t="s">
        <v>65</v>
      </c>
      <c r="E140" s="84" t="s">
        <v>24</v>
      </c>
      <c r="F140" s="84" t="s">
        <v>6</v>
      </c>
      <c r="G140" s="84" t="s">
        <v>190</v>
      </c>
      <c r="H140" s="84" t="s">
        <v>146</v>
      </c>
      <c r="I140" s="126"/>
      <c r="J140" s="123"/>
      <c r="K140" s="125"/>
      <c r="L140" s="136" t="e">
        <f t="shared" si="1"/>
        <v>#DIV/0!</v>
      </c>
    </row>
    <row r="141" spans="1:12" ht="12">
      <c r="A141" s="80" t="s">
        <v>25</v>
      </c>
      <c r="B141" s="81" t="s">
        <v>80</v>
      </c>
      <c r="C141" s="81" t="s">
        <v>80</v>
      </c>
      <c r="D141" s="81" t="s">
        <v>65</v>
      </c>
      <c r="E141" s="76" t="s">
        <v>24</v>
      </c>
      <c r="F141" s="76" t="s">
        <v>8</v>
      </c>
      <c r="G141" s="76"/>
      <c r="H141" s="76"/>
      <c r="I141" s="122">
        <f>I142+I146</f>
        <v>470.69539</v>
      </c>
      <c r="J141" s="123"/>
      <c r="K141" s="124">
        <f>K142+K146</f>
        <v>32.08677</v>
      </c>
      <c r="L141" s="136">
        <f t="shared" si="1"/>
        <v>6.816886394404671</v>
      </c>
    </row>
    <row r="142" spans="1:12" ht="12">
      <c r="A142" s="85" t="s">
        <v>122</v>
      </c>
      <c r="B142" s="81"/>
      <c r="C142" s="83" t="s">
        <v>80</v>
      </c>
      <c r="D142" s="83" t="s">
        <v>65</v>
      </c>
      <c r="E142" s="84" t="s">
        <v>24</v>
      </c>
      <c r="F142" s="84" t="s">
        <v>8</v>
      </c>
      <c r="G142" s="84" t="s">
        <v>193</v>
      </c>
      <c r="H142" s="84"/>
      <c r="I142" s="126">
        <f>I143</f>
        <v>289.5118</v>
      </c>
      <c r="J142" s="123"/>
      <c r="K142" s="125">
        <f>K143</f>
        <v>32.08677</v>
      </c>
      <c r="L142" s="136">
        <f t="shared" si="1"/>
        <v>11.083061208558686</v>
      </c>
    </row>
    <row r="143" spans="1:12" ht="12">
      <c r="A143" s="85" t="s">
        <v>93</v>
      </c>
      <c r="B143" s="81"/>
      <c r="C143" s="83" t="s">
        <v>80</v>
      </c>
      <c r="D143" s="83" t="s">
        <v>65</v>
      </c>
      <c r="E143" s="84" t="s">
        <v>24</v>
      </c>
      <c r="F143" s="84" t="s">
        <v>8</v>
      </c>
      <c r="G143" s="84" t="s">
        <v>194</v>
      </c>
      <c r="H143" s="84"/>
      <c r="I143" s="126">
        <f>I144</f>
        <v>289.5118</v>
      </c>
      <c r="J143" s="123"/>
      <c r="K143" s="125">
        <f>K144</f>
        <v>32.08677</v>
      </c>
      <c r="L143" s="136">
        <f t="shared" si="1"/>
        <v>11.083061208558686</v>
      </c>
    </row>
    <row r="144" spans="1:12" ht="24">
      <c r="A144" s="102" t="s">
        <v>227</v>
      </c>
      <c r="B144" s="81"/>
      <c r="C144" s="83" t="s">
        <v>80</v>
      </c>
      <c r="D144" s="83" t="s">
        <v>65</v>
      </c>
      <c r="E144" s="84" t="s">
        <v>24</v>
      </c>
      <c r="F144" s="84" t="s">
        <v>8</v>
      </c>
      <c r="G144" s="84" t="s">
        <v>194</v>
      </c>
      <c r="H144" s="84" t="s">
        <v>166</v>
      </c>
      <c r="I144" s="126">
        <f>I145</f>
        <v>289.5118</v>
      </c>
      <c r="J144" s="123"/>
      <c r="K144" s="125">
        <f>K145</f>
        <v>32.08677</v>
      </c>
      <c r="L144" s="136">
        <f aca="true" t="shared" si="2" ref="L144:L207">K144/I144*100</f>
        <v>11.083061208558686</v>
      </c>
    </row>
    <row r="145" spans="1:12" ht="24">
      <c r="A145" s="85" t="s">
        <v>108</v>
      </c>
      <c r="B145" s="81"/>
      <c r="C145" s="83"/>
      <c r="D145" s="83" t="s">
        <v>65</v>
      </c>
      <c r="E145" s="84" t="s">
        <v>24</v>
      </c>
      <c r="F145" s="84" t="s">
        <v>8</v>
      </c>
      <c r="G145" s="84" t="s">
        <v>194</v>
      </c>
      <c r="H145" s="84" t="s">
        <v>109</v>
      </c>
      <c r="I145" s="126">
        <f>289511.8/1000</f>
        <v>289.5118</v>
      </c>
      <c r="J145" s="123"/>
      <c r="K145" s="125">
        <f>32086.77/1000</f>
        <v>32.08677</v>
      </c>
      <c r="L145" s="136">
        <f t="shared" si="2"/>
        <v>11.083061208558686</v>
      </c>
    </row>
    <row r="146" spans="1:12" ht="36">
      <c r="A146" s="104" t="s">
        <v>286</v>
      </c>
      <c r="B146" s="78"/>
      <c r="C146" s="78"/>
      <c r="D146" s="78" t="s">
        <v>65</v>
      </c>
      <c r="E146" s="79" t="s">
        <v>24</v>
      </c>
      <c r="F146" s="79" t="s">
        <v>8</v>
      </c>
      <c r="G146" s="79" t="s">
        <v>287</v>
      </c>
      <c r="H146" s="105"/>
      <c r="I146" s="122">
        <f>I147+I152</f>
        <v>181.18359</v>
      </c>
      <c r="J146" s="123"/>
      <c r="K146" s="124">
        <f>K147+K152</f>
        <v>0</v>
      </c>
      <c r="L146" s="136">
        <f t="shared" si="2"/>
        <v>0</v>
      </c>
    </row>
    <row r="147" spans="1:12" ht="28.5" customHeight="1">
      <c r="A147" s="106" t="s">
        <v>288</v>
      </c>
      <c r="B147" s="78"/>
      <c r="C147" s="78"/>
      <c r="D147" s="107" t="s">
        <v>65</v>
      </c>
      <c r="E147" s="105" t="s">
        <v>24</v>
      </c>
      <c r="F147" s="105" t="s">
        <v>8</v>
      </c>
      <c r="G147" s="105" t="s">
        <v>289</v>
      </c>
      <c r="H147" s="105"/>
      <c r="I147" s="126">
        <f>I148+I150</f>
        <v>137.8444</v>
      </c>
      <c r="J147" s="123"/>
      <c r="K147" s="125">
        <f>K148+K150</f>
        <v>0</v>
      </c>
      <c r="L147" s="136">
        <f t="shared" si="2"/>
        <v>0</v>
      </c>
    </row>
    <row r="148" spans="1:12" ht="24" hidden="1">
      <c r="A148" s="106" t="s">
        <v>227</v>
      </c>
      <c r="B148" s="78"/>
      <c r="C148" s="78"/>
      <c r="D148" s="107" t="s">
        <v>65</v>
      </c>
      <c r="E148" s="105" t="s">
        <v>24</v>
      </c>
      <c r="F148" s="105" t="s">
        <v>9</v>
      </c>
      <c r="G148" s="105" t="s">
        <v>289</v>
      </c>
      <c r="H148" s="105" t="s">
        <v>166</v>
      </c>
      <c r="I148" s="126">
        <f>I149</f>
        <v>0</v>
      </c>
      <c r="J148" s="123"/>
      <c r="K148" s="125">
        <f>K149</f>
        <v>0</v>
      </c>
      <c r="L148" s="136" t="e">
        <f t="shared" si="2"/>
        <v>#DIV/0!</v>
      </c>
    </row>
    <row r="149" spans="1:12" ht="24" hidden="1">
      <c r="A149" s="108" t="s">
        <v>108</v>
      </c>
      <c r="B149" s="78"/>
      <c r="C149" s="78"/>
      <c r="D149" s="107" t="s">
        <v>65</v>
      </c>
      <c r="E149" s="105" t="s">
        <v>24</v>
      </c>
      <c r="F149" s="105" t="s">
        <v>9</v>
      </c>
      <c r="G149" s="105" t="s">
        <v>289</v>
      </c>
      <c r="H149" s="105" t="s">
        <v>109</v>
      </c>
      <c r="I149" s="126">
        <v>0</v>
      </c>
      <c r="J149" s="123"/>
      <c r="K149" s="125">
        <v>0</v>
      </c>
      <c r="L149" s="136" t="e">
        <f t="shared" si="2"/>
        <v>#DIV/0!</v>
      </c>
    </row>
    <row r="150" spans="1:12" ht="12">
      <c r="A150" s="109" t="s">
        <v>40</v>
      </c>
      <c r="B150" s="78"/>
      <c r="C150" s="78"/>
      <c r="D150" s="107" t="s">
        <v>65</v>
      </c>
      <c r="E150" s="105" t="s">
        <v>24</v>
      </c>
      <c r="F150" s="105" t="s">
        <v>8</v>
      </c>
      <c r="G150" s="105" t="s">
        <v>289</v>
      </c>
      <c r="H150" s="105" t="s">
        <v>172</v>
      </c>
      <c r="I150" s="126">
        <f>I151</f>
        <v>137.8444</v>
      </c>
      <c r="J150" s="123"/>
      <c r="K150" s="125">
        <f>K151</f>
        <v>0</v>
      </c>
      <c r="L150" s="136">
        <f t="shared" si="2"/>
        <v>0</v>
      </c>
    </row>
    <row r="151" spans="1:12" ht="48">
      <c r="A151" s="109" t="s">
        <v>290</v>
      </c>
      <c r="B151" s="78"/>
      <c r="C151" s="78"/>
      <c r="D151" s="107" t="s">
        <v>65</v>
      </c>
      <c r="E151" s="105" t="s">
        <v>24</v>
      </c>
      <c r="F151" s="105" t="s">
        <v>8</v>
      </c>
      <c r="G151" s="105" t="s">
        <v>289</v>
      </c>
      <c r="H151" s="105" t="s">
        <v>225</v>
      </c>
      <c r="I151" s="126">
        <f>137844.4/1000</f>
        <v>137.8444</v>
      </c>
      <c r="J151" s="123"/>
      <c r="K151" s="125">
        <v>0</v>
      </c>
      <c r="L151" s="136">
        <f t="shared" si="2"/>
        <v>0</v>
      </c>
    </row>
    <row r="152" spans="1:12" ht="36">
      <c r="A152" s="106" t="s">
        <v>291</v>
      </c>
      <c r="B152" s="78"/>
      <c r="C152" s="78"/>
      <c r="D152" s="107" t="s">
        <v>65</v>
      </c>
      <c r="E152" s="105" t="s">
        <v>24</v>
      </c>
      <c r="F152" s="105" t="s">
        <v>8</v>
      </c>
      <c r="G152" s="105" t="s">
        <v>292</v>
      </c>
      <c r="H152" s="105"/>
      <c r="I152" s="126">
        <f>I153+I155</f>
        <v>43.33919</v>
      </c>
      <c r="J152" s="123"/>
      <c r="K152" s="125">
        <f>K153+K155</f>
        <v>0</v>
      </c>
      <c r="L152" s="136">
        <f t="shared" si="2"/>
        <v>0</v>
      </c>
    </row>
    <row r="153" spans="1:12" ht="24" hidden="1">
      <c r="A153" s="106" t="s">
        <v>227</v>
      </c>
      <c r="B153" s="78"/>
      <c r="C153" s="78"/>
      <c r="D153" s="107" t="s">
        <v>65</v>
      </c>
      <c r="E153" s="105" t="s">
        <v>24</v>
      </c>
      <c r="F153" s="105" t="s">
        <v>9</v>
      </c>
      <c r="G153" s="105" t="s">
        <v>292</v>
      </c>
      <c r="H153" s="105" t="s">
        <v>166</v>
      </c>
      <c r="I153" s="126">
        <f>I154</f>
        <v>0</v>
      </c>
      <c r="J153" s="123"/>
      <c r="K153" s="125">
        <f>K154</f>
        <v>0</v>
      </c>
      <c r="L153" s="136" t="e">
        <f t="shared" si="2"/>
        <v>#DIV/0!</v>
      </c>
    </row>
    <row r="154" spans="1:12" ht="24" hidden="1">
      <c r="A154" s="108" t="s">
        <v>108</v>
      </c>
      <c r="B154" s="78"/>
      <c r="C154" s="78"/>
      <c r="D154" s="107" t="s">
        <v>65</v>
      </c>
      <c r="E154" s="105" t="s">
        <v>24</v>
      </c>
      <c r="F154" s="105" t="s">
        <v>9</v>
      </c>
      <c r="G154" s="105" t="s">
        <v>292</v>
      </c>
      <c r="H154" s="105" t="s">
        <v>109</v>
      </c>
      <c r="I154" s="126">
        <v>0</v>
      </c>
      <c r="J154" s="123"/>
      <c r="K154" s="125">
        <v>0</v>
      </c>
      <c r="L154" s="136" t="e">
        <f t="shared" si="2"/>
        <v>#DIV/0!</v>
      </c>
    </row>
    <row r="155" spans="1:12" ht="12">
      <c r="A155" s="109" t="s">
        <v>40</v>
      </c>
      <c r="B155" s="78"/>
      <c r="C155" s="78"/>
      <c r="D155" s="107" t="s">
        <v>65</v>
      </c>
      <c r="E155" s="105" t="s">
        <v>24</v>
      </c>
      <c r="F155" s="105" t="s">
        <v>8</v>
      </c>
      <c r="G155" s="105" t="s">
        <v>292</v>
      </c>
      <c r="H155" s="105" t="s">
        <v>172</v>
      </c>
      <c r="I155" s="126">
        <f>I156</f>
        <v>43.33919</v>
      </c>
      <c r="J155" s="123"/>
      <c r="K155" s="125">
        <f>K156</f>
        <v>0</v>
      </c>
      <c r="L155" s="136">
        <f t="shared" si="2"/>
        <v>0</v>
      </c>
    </row>
    <row r="156" spans="1:12" ht="60">
      <c r="A156" s="109" t="s">
        <v>293</v>
      </c>
      <c r="B156" s="78"/>
      <c r="C156" s="78"/>
      <c r="D156" s="107" t="s">
        <v>65</v>
      </c>
      <c r="E156" s="105" t="s">
        <v>24</v>
      </c>
      <c r="F156" s="105" t="s">
        <v>8</v>
      </c>
      <c r="G156" s="105" t="s">
        <v>292</v>
      </c>
      <c r="H156" s="105" t="s">
        <v>225</v>
      </c>
      <c r="I156" s="126">
        <v>43.33919</v>
      </c>
      <c r="J156" s="123"/>
      <c r="K156" s="125">
        <v>0</v>
      </c>
      <c r="L156" s="136">
        <f t="shared" si="2"/>
        <v>0</v>
      </c>
    </row>
    <row r="157" spans="1:12" ht="12">
      <c r="A157" s="80" t="s">
        <v>54</v>
      </c>
      <c r="B157" s="76" t="s">
        <v>80</v>
      </c>
      <c r="C157" s="76" t="s">
        <v>80</v>
      </c>
      <c r="D157" s="76" t="s">
        <v>65</v>
      </c>
      <c r="E157" s="76" t="s">
        <v>24</v>
      </c>
      <c r="F157" s="76" t="s">
        <v>9</v>
      </c>
      <c r="G157" s="76"/>
      <c r="H157" s="76"/>
      <c r="I157" s="122">
        <f>I158+I162+I182</f>
        <v>7425.978160000001</v>
      </c>
      <c r="J157" s="123"/>
      <c r="K157" s="124">
        <f>K158+K162+K182</f>
        <v>852.1841199999999</v>
      </c>
      <c r="L157" s="136">
        <f t="shared" si="2"/>
        <v>11.475715409321912</v>
      </c>
    </row>
    <row r="158" spans="1:12" ht="36">
      <c r="A158" s="82" t="s">
        <v>280</v>
      </c>
      <c r="B158" s="76"/>
      <c r="C158" s="76"/>
      <c r="D158" s="84" t="s">
        <v>65</v>
      </c>
      <c r="E158" s="84" t="s">
        <v>24</v>
      </c>
      <c r="F158" s="84" t="s">
        <v>9</v>
      </c>
      <c r="G158" s="84" t="s">
        <v>164</v>
      </c>
      <c r="H158" s="76"/>
      <c r="I158" s="122">
        <f>I159</f>
        <v>350</v>
      </c>
      <c r="J158" s="123"/>
      <c r="K158" s="125">
        <f>K159</f>
        <v>151.43463</v>
      </c>
      <c r="L158" s="136">
        <f t="shared" si="2"/>
        <v>43.26703714285714</v>
      </c>
    </row>
    <row r="159" spans="1:12" ht="24">
      <c r="A159" s="88" t="s">
        <v>177</v>
      </c>
      <c r="B159" s="81"/>
      <c r="C159" s="81"/>
      <c r="D159" s="83" t="s">
        <v>65</v>
      </c>
      <c r="E159" s="84" t="s">
        <v>24</v>
      </c>
      <c r="F159" s="84" t="s">
        <v>9</v>
      </c>
      <c r="G159" s="84" t="s">
        <v>167</v>
      </c>
      <c r="H159" s="84"/>
      <c r="I159" s="126">
        <f>I160</f>
        <v>350</v>
      </c>
      <c r="J159" s="123"/>
      <c r="K159" s="125">
        <f>K160</f>
        <v>151.43463</v>
      </c>
      <c r="L159" s="136">
        <f t="shared" si="2"/>
        <v>43.26703714285714</v>
      </c>
    </row>
    <row r="160" spans="1:12" ht="24">
      <c r="A160" s="87" t="s">
        <v>227</v>
      </c>
      <c r="B160" s="81"/>
      <c r="C160" s="81"/>
      <c r="D160" s="83" t="s">
        <v>65</v>
      </c>
      <c r="E160" s="84" t="s">
        <v>24</v>
      </c>
      <c r="F160" s="84" t="s">
        <v>9</v>
      </c>
      <c r="G160" s="84" t="s">
        <v>167</v>
      </c>
      <c r="H160" s="84" t="s">
        <v>166</v>
      </c>
      <c r="I160" s="126">
        <f>I161</f>
        <v>350</v>
      </c>
      <c r="J160" s="123"/>
      <c r="K160" s="125">
        <f>K161</f>
        <v>151.43463</v>
      </c>
      <c r="L160" s="136">
        <f t="shared" si="2"/>
        <v>43.26703714285714</v>
      </c>
    </row>
    <row r="161" spans="1:12" ht="24">
      <c r="A161" s="85" t="s">
        <v>108</v>
      </c>
      <c r="B161" s="81"/>
      <c r="C161" s="81"/>
      <c r="D161" s="83" t="s">
        <v>65</v>
      </c>
      <c r="E161" s="84" t="s">
        <v>24</v>
      </c>
      <c r="F161" s="84" t="s">
        <v>9</v>
      </c>
      <c r="G161" s="84" t="s">
        <v>167</v>
      </c>
      <c r="H161" s="84" t="s">
        <v>109</v>
      </c>
      <c r="I161" s="126">
        <f>150000/1000+200000/1000</f>
        <v>350</v>
      </c>
      <c r="J161" s="123"/>
      <c r="K161" s="125">
        <f>151434.63/1000</f>
        <v>151.43463</v>
      </c>
      <c r="L161" s="136">
        <f t="shared" si="2"/>
        <v>43.26703714285714</v>
      </c>
    </row>
    <row r="162" spans="1:12" ht="48">
      <c r="A162" s="110" t="s">
        <v>294</v>
      </c>
      <c r="B162" s="79"/>
      <c r="C162" s="79"/>
      <c r="D162" s="105" t="s">
        <v>65</v>
      </c>
      <c r="E162" s="105" t="s">
        <v>24</v>
      </c>
      <c r="F162" s="105" t="s">
        <v>9</v>
      </c>
      <c r="G162" s="105" t="s">
        <v>279</v>
      </c>
      <c r="H162" s="79"/>
      <c r="I162" s="126">
        <f>I163+I166+I169</f>
        <v>2673.1259999999997</v>
      </c>
      <c r="J162" s="123"/>
      <c r="K162" s="125">
        <f>K163+K166+K169</f>
        <v>0</v>
      </c>
      <c r="L162" s="136">
        <f t="shared" si="2"/>
        <v>0</v>
      </c>
    </row>
    <row r="163" spans="1:12" ht="24">
      <c r="A163" s="106" t="s">
        <v>227</v>
      </c>
      <c r="B163" s="78"/>
      <c r="C163" s="78"/>
      <c r="D163" s="107" t="s">
        <v>65</v>
      </c>
      <c r="E163" s="105" t="s">
        <v>24</v>
      </c>
      <c r="F163" s="105" t="s">
        <v>9</v>
      </c>
      <c r="G163" s="105" t="s">
        <v>278</v>
      </c>
      <c r="H163" s="105" t="s">
        <v>166</v>
      </c>
      <c r="I163" s="126">
        <f>I164</f>
        <v>2065.4208</v>
      </c>
      <c r="J163" s="123"/>
      <c r="K163" s="125">
        <f>K164</f>
        <v>0</v>
      </c>
      <c r="L163" s="136">
        <f t="shared" si="2"/>
        <v>0</v>
      </c>
    </row>
    <row r="164" spans="1:12" ht="24">
      <c r="A164" s="108" t="s">
        <v>108</v>
      </c>
      <c r="B164" s="78"/>
      <c r="C164" s="78"/>
      <c r="D164" s="107" t="s">
        <v>65</v>
      </c>
      <c r="E164" s="105" t="s">
        <v>24</v>
      </c>
      <c r="F164" s="105" t="s">
        <v>9</v>
      </c>
      <c r="G164" s="105" t="s">
        <v>278</v>
      </c>
      <c r="H164" s="105" t="s">
        <v>109</v>
      </c>
      <c r="I164" s="126">
        <f>2065420.8/1000</f>
        <v>2065.4208</v>
      </c>
      <c r="J164" s="123"/>
      <c r="K164" s="125">
        <v>0</v>
      </c>
      <c r="L164" s="136">
        <f t="shared" si="2"/>
        <v>0</v>
      </c>
    </row>
    <row r="165" spans="1:12" ht="36" hidden="1">
      <c r="A165" s="110" t="s">
        <v>295</v>
      </c>
      <c r="B165" s="79"/>
      <c r="C165" s="79"/>
      <c r="D165" s="105" t="s">
        <v>65</v>
      </c>
      <c r="E165" s="105" t="s">
        <v>24</v>
      </c>
      <c r="F165" s="105" t="s">
        <v>9</v>
      </c>
      <c r="G165" s="105" t="s">
        <v>296</v>
      </c>
      <c r="H165" s="79"/>
      <c r="I165" s="126">
        <f>I166</f>
        <v>0</v>
      </c>
      <c r="J165" s="123"/>
      <c r="K165" s="125">
        <f>K166</f>
        <v>0</v>
      </c>
      <c r="L165" s="136" t="e">
        <f t="shared" si="2"/>
        <v>#DIV/0!</v>
      </c>
    </row>
    <row r="166" spans="1:12" ht="24" hidden="1">
      <c r="A166" s="106" t="s">
        <v>227</v>
      </c>
      <c r="B166" s="78"/>
      <c r="C166" s="78"/>
      <c r="D166" s="107" t="s">
        <v>65</v>
      </c>
      <c r="E166" s="105" t="s">
        <v>24</v>
      </c>
      <c r="F166" s="105" t="s">
        <v>9</v>
      </c>
      <c r="G166" s="105" t="s">
        <v>296</v>
      </c>
      <c r="H166" s="105" t="s">
        <v>166</v>
      </c>
      <c r="I166" s="126">
        <f>I167</f>
        <v>0</v>
      </c>
      <c r="J166" s="123"/>
      <c r="K166" s="125">
        <f>K167</f>
        <v>0</v>
      </c>
      <c r="L166" s="136" t="e">
        <f t="shared" si="2"/>
        <v>#DIV/0!</v>
      </c>
    </row>
    <row r="167" spans="1:12" ht="24" hidden="1">
      <c r="A167" s="108" t="s">
        <v>108</v>
      </c>
      <c r="B167" s="78"/>
      <c r="C167" s="78"/>
      <c r="D167" s="107" t="s">
        <v>65</v>
      </c>
      <c r="E167" s="105" t="s">
        <v>24</v>
      </c>
      <c r="F167" s="105" t="s">
        <v>9</v>
      </c>
      <c r="G167" s="105" t="s">
        <v>296</v>
      </c>
      <c r="H167" s="105" t="s">
        <v>109</v>
      </c>
      <c r="I167" s="126"/>
      <c r="J167" s="123"/>
      <c r="K167" s="125"/>
      <c r="L167" s="136" t="e">
        <f t="shared" si="2"/>
        <v>#DIV/0!</v>
      </c>
    </row>
    <row r="168" spans="1:12" ht="24">
      <c r="A168" s="106" t="s">
        <v>227</v>
      </c>
      <c r="B168" s="78"/>
      <c r="C168" s="78"/>
      <c r="D168" s="107" t="s">
        <v>65</v>
      </c>
      <c r="E168" s="105" t="s">
        <v>24</v>
      </c>
      <c r="F168" s="105" t="s">
        <v>9</v>
      </c>
      <c r="G168" s="105" t="s">
        <v>248</v>
      </c>
      <c r="H168" s="105" t="s">
        <v>166</v>
      </c>
      <c r="I168" s="126">
        <f>I169</f>
        <v>607.7052</v>
      </c>
      <c r="J168" s="123"/>
      <c r="K168" s="125">
        <f>K169</f>
        <v>0</v>
      </c>
      <c r="L168" s="136">
        <f t="shared" si="2"/>
        <v>0</v>
      </c>
    </row>
    <row r="169" spans="1:12" ht="24">
      <c r="A169" s="108" t="s">
        <v>108</v>
      </c>
      <c r="B169" s="78"/>
      <c r="C169" s="78"/>
      <c r="D169" s="107" t="s">
        <v>65</v>
      </c>
      <c r="E169" s="105" t="s">
        <v>24</v>
      </c>
      <c r="F169" s="105" t="s">
        <v>9</v>
      </c>
      <c r="G169" s="105" t="s">
        <v>248</v>
      </c>
      <c r="H169" s="105" t="s">
        <v>109</v>
      </c>
      <c r="I169" s="126">
        <f>600000/1000-340000/1000+347705.2/1000</f>
        <v>607.7052</v>
      </c>
      <c r="J169" s="123"/>
      <c r="K169" s="125">
        <v>0</v>
      </c>
      <c r="L169" s="136">
        <f t="shared" si="2"/>
        <v>0</v>
      </c>
    </row>
    <row r="170" spans="1:12" ht="24" hidden="1">
      <c r="A170" s="110" t="s">
        <v>270</v>
      </c>
      <c r="B170" s="79"/>
      <c r="C170" s="79"/>
      <c r="D170" s="105" t="s">
        <v>65</v>
      </c>
      <c r="E170" s="105" t="s">
        <v>24</v>
      </c>
      <c r="F170" s="105" t="s">
        <v>9</v>
      </c>
      <c r="G170" s="105" t="s">
        <v>271</v>
      </c>
      <c r="H170" s="79"/>
      <c r="I170" s="126">
        <f>I171+I173</f>
        <v>0</v>
      </c>
      <c r="J170" s="123"/>
      <c r="K170" s="125">
        <f>K171+K173</f>
        <v>0</v>
      </c>
      <c r="L170" s="136" t="e">
        <f t="shared" si="2"/>
        <v>#DIV/0!</v>
      </c>
    </row>
    <row r="171" spans="1:12" ht="12" hidden="1">
      <c r="A171" s="106" t="s">
        <v>40</v>
      </c>
      <c r="B171" s="78"/>
      <c r="C171" s="78"/>
      <c r="D171" s="107" t="s">
        <v>65</v>
      </c>
      <c r="E171" s="105" t="s">
        <v>24</v>
      </c>
      <c r="F171" s="105" t="s">
        <v>9</v>
      </c>
      <c r="G171" s="105" t="s">
        <v>297</v>
      </c>
      <c r="H171" s="105" t="s">
        <v>172</v>
      </c>
      <c r="I171" s="126">
        <f>I172</f>
        <v>0</v>
      </c>
      <c r="J171" s="123"/>
      <c r="K171" s="125">
        <f>K172</f>
        <v>0</v>
      </c>
      <c r="L171" s="136" t="e">
        <f t="shared" si="2"/>
        <v>#DIV/0!</v>
      </c>
    </row>
    <row r="172" spans="1:12" ht="12" hidden="1">
      <c r="A172" s="108" t="s">
        <v>226</v>
      </c>
      <c r="B172" s="78"/>
      <c r="C172" s="78"/>
      <c r="D172" s="107" t="s">
        <v>65</v>
      </c>
      <c r="E172" s="105" t="s">
        <v>24</v>
      </c>
      <c r="F172" s="105" t="s">
        <v>9</v>
      </c>
      <c r="G172" s="105" t="s">
        <v>297</v>
      </c>
      <c r="H172" s="105" t="s">
        <v>225</v>
      </c>
      <c r="I172" s="126"/>
      <c r="J172" s="123"/>
      <c r="K172" s="125"/>
      <c r="L172" s="136" t="e">
        <f t="shared" si="2"/>
        <v>#DIV/0!</v>
      </c>
    </row>
    <row r="173" spans="1:12" ht="24" hidden="1">
      <c r="A173" s="110" t="s">
        <v>270</v>
      </c>
      <c r="B173" s="79"/>
      <c r="C173" s="79"/>
      <c r="D173" s="105" t="s">
        <v>65</v>
      </c>
      <c r="E173" s="105" t="s">
        <v>24</v>
      </c>
      <c r="F173" s="105" t="s">
        <v>9</v>
      </c>
      <c r="G173" s="105" t="s">
        <v>271</v>
      </c>
      <c r="H173" s="79"/>
      <c r="I173" s="126">
        <f>I174</f>
        <v>0</v>
      </c>
      <c r="J173" s="123"/>
      <c r="K173" s="125">
        <f>K174</f>
        <v>0</v>
      </c>
      <c r="L173" s="136" t="e">
        <f t="shared" si="2"/>
        <v>#DIV/0!</v>
      </c>
    </row>
    <row r="174" spans="1:12" ht="12" hidden="1">
      <c r="A174" s="106" t="s">
        <v>40</v>
      </c>
      <c r="B174" s="78"/>
      <c r="C174" s="78"/>
      <c r="D174" s="107" t="s">
        <v>65</v>
      </c>
      <c r="E174" s="105" t="s">
        <v>24</v>
      </c>
      <c r="F174" s="105" t="s">
        <v>9</v>
      </c>
      <c r="G174" s="105" t="s">
        <v>272</v>
      </c>
      <c r="H174" s="105" t="s">
        <v>172</v>
      </c>
      <c r="I174" s="126">
        <f>I175</f>
        <v>0</v>
      </c>
      <c r="J174" s="123"/>
      <c r="K174" s="125">
        <f>K175</f>
        <v>0</v>
      </c>
      <c r="L174" s="136" t="e">
        <f t="shared" si="2"/>
        <v>#DIV/0!</v>
      </c>
    </row>
    <row r="175" spans="1:12" ht="12" hidden="1">
      <c r="A175" s="108" t="s">
        <v>226</v>
      </c>
      <c r="B175" s="78"/>
      <c r="C175" s="78"/>
      <c r="D175" s="107" t="s">
        <v>65</v>
      </c>
      <c r="E175" s="105" t="s">
        <v>24</v>
      </c>
      <c r="F175" s="105" t="s">
        <v>9</v>
      </c>
      <c r="G175" s="105" t="s">
        <v>272</v>
      </c>
      <c r="H175" s="105" t="s">
        <v>225</v>
      </c>
      <c r="I175" s="126"/>
      <c r="J175" s="123"/>
      <c r="K175" s="125"/>
      <c r="L175" s="136" t="e">
        <f t="shared" si="2"/>
        <v>#DIV/0!</v>
      </c>
    </row>
    <row r="176" spans="1:12" ht="24" hidden="1">
      <c r="A176" s="106" t="s">
        <v>227</v>
      </c>
      <c r="B176" s="78"/>
      <c r="C176" s="78"/>
      <c r="D176" s="107" t="s">
        <v>65</v>
      </c>
      <c r="E176" s="105" t="s">
        <v>24</v>
      </c>
      <c r="F176" s="105" t="s">
        <v>9</v>
      </c>
      <c r="G176" s="105" t="s">
        <v>248</v>
      </c>
      <c r="H176" s="105" t="s">
        <v>166</v>
      </c>
      <c r="I176" s="126">
        <f>I177</f>
        <v>0</v>
      </c>
      <c r="J176" s="123"/>
      <c r="K176" s="125">
        <f>K177</f>
        <v>0</v>
      </c>
      <c r="L176" s="136" t="e">
        <f t="shared" si="2"/>
        <v>#DIV/0!</v>
      </c>
    </row>
    <row r="177" spans="1:12" ht="24" hidden="1">
      <c r="A177" s="106" t="s">
        <v>163</v>
      </c>
      <c r="B177" s="78"/>
      <c r="C177" s="78"/>
      <c r="D177" s="107" t="s">
        <v>65</v>
      </c>
      <c r="E177" s="105" t="s">
        <v>24</v>
      </c>
      <c r="F177" s="105" t="s">
        <v>9</v>
      </c>
      <c r="G177" s="105" t="s">
        <v>248</v>
      </c>
      <c r="H177" s="105" t="s">
        <v>109</v>
      </c>
      <c r="I177" s="126"/>
      <c r="J177" s="123"/>
      <c r="K177" s="125"/>
      <c r="L177" s="136" t="e">
        <f t="shared" si="2"/>
        <v>#DIV/0!</v>
      </c>
    </row>
    <row r="178" spans="1:12" ht="36" hidden="1">
      <c r="A178" s="110" t="s">
        <v>257</v>
      </c>
      <c r="B178" s="79"/>
      <c r="C178" s="79"/>
      <c r="D178" s="105" t="s">
        <v>65</v>
      </c>
      <c r="E178" s="105" t="s">
        <v>24</v>
      </c>
      <c r="F178" s="105" t="s">
        <v>9</v>
      </c>
      <c r="G178" s="105" t="s">
        <v>256</v>
      </c>
      <c r="H178" s="79"/>
      <c r="I178" s="126">
        <f>I179</f>
        <v>0</v>
      </c>
      <c r="J178" s="123"/>
      <c r="K178" s="125">
        <f>K179</f>
        <v>0</v>
      </c>
      <c r="L178" s="136" t="e">
        <f t="shared" si="2"/>
        <v>#DIV/0!</v>
      </c>
    </row>
    <row r="179" spans="1:12" ht="36" hidden="1">
      <c r="A179" s="110" t="s">
        <v>258</v>
      </c>
      <c r="B179" s="78"/>
      <c r="C179" s="78"/>
      <c r="D179" s="107" t="s">
        <v>65</v>
      </c>
      <c r="E179" s="105" t="s">
        <v>24</v>
      </c>
      <c r="F179" s="105" t="s">
        <v>9</v>
      </c>
      <c r="G179" s="105" t="s">
        <v>249</v>
      </c>
      <c r="H179" s="105"/>
      <c r="I179" s="126">
        <f>I180</f>
        <v>0</v>
      </c>
      <c r="J179" s="123"/>
      <c r="K179" s="125">
        <f>K180</f>
        <v>0</v>
      </c>
      <c r="L179" s="136" t="e">
        <f t="shared" si="2"/>
        <v>#DIV/0!</v>
      </c>
    </row>
    <row r="180" spans="1:12" ht="24" hidden="1">
      <c r="A180" s="106" t="s">
        <v>227</v>
      </c>
      <c r="B180" s="78"/>
      <c r="C180" s="78"/>
      <c r="D180" s="107" t="s">
        <v>65</v>
      </c>
      <c r="E180" s="105" t="s">
        <v>24</v>
      </c>
      <c r="F180" s="105" t="s">
        <v>9</v>
      </c>
      <c r="G180" s="105" t="s">
        <v>249</v>
      </c>
      <c r="H180" s="105" t="s">
        <v>166</v>
      </c>
      <c r="I180" s="126">
        <f>I181</f>
        <v>0</v>
      </c>
      <c r="J180" s="123"/>
      <c r="K180" s="125">
        <f>K181</f>
        <v>0</v>
      </c>
      <c r="L180" s="136" t="e">
        <f t="shared" si="2"/>
        <v>#DIV/0!</v>
      </c>
    </row>
    <row r="181" spans="1:12" ht="24" hidden="1">
      <c r="A181" s="106" t="s">
        <v>163</v>
      </c>
      <c r="B181" s="78"/>
      <c r="C181" s="78"/>
      <c r="D181" s="107" t="s">
        <v>65</v>
      </c>
      <c r="E181" s="105" t="s">
        <v>24</v>
      </c>
      <c r="F181" s="105" t="s">
        <v>9</v>
      </c>
      <c r="G181" s="105" t="s">
        <v>249</v>
      </c>
      <c r="H181" s="105" t="s">
        <v>109</v>
      </c>
      <c r="I181" s="126">
        <v>0</v>
      </c>
      <c r="J181" s="123"/>
      <c r="K181" s="125">
        <v>0</v>
      </c>
      <c r="L181" s="136" t="e">
        <f t="shared" si="2"/>
        <v>#DIV/0!</v>
      </c>
    </row>
    <row r="182" spans="1:12" ht="12">
      <c r="A182" s="110" t="s">
        <v>250</v>
      </c>
      <c r="B182" s="107"/>
      <c r="C182" s="107"/>
      <c r="D182" s="107" t="s">
        <v>65</v>
      </c>
      <c r="E182" s="105" t="s">
        <v>24</v>
      </c>
      <c r="F182" s="105" t="s">
        <v>9</v>
      </c>
      <c r="G182" s="105" t="s">
        <v>195</v>
      </c>
      <c r="H182" s="105"/>
      <c r="I182" s="126">
        <f>I183+I186+I189</f>
        <v>4402.85216</v>
      </c>
      <c r="J182" s="123"/>
      <c r="K182" s="125">
        <f>K183+K186+K189</f>
        <v>700.7494899999999</v>
      </c>
      <c r="L182" s="136">
        <f t="shared" si="2"/>
        <v>15.915807856696235</v>
      </c>
    </row>
    <row r="183" spans="1:12" ht="12">
      <c r="A183" s="110" t="s">
        <v>123</v>
      </c>
      <c r="B183" s="107"/>
      <c r="C183" s="107"/>
      <c r="D183" s="107" t="s">
        <v>65</v>
      </c>
      <c r="E183" s="105" t="s">
        <v>24</v>
      </c>
      <c r="F183" s="105" t="s">
        <v>9</v>
      </c>
      <c r="G183" s="105" t="s">
        <v>196</v>
      </c>
      <c r="H183" s="105"/>
      <c r="I183" s="126">
        <f>I184</f>
        <v>1700</v>
      </c>
      <c r="J183" s="123"/>
      <c r="K183" s="125">
        <f>K184</f>
        <v>674.5401899999999</v>
      </c>
      <c r="L183" s="136">
        <f t="shared" si="2"/>
        <v>39.67883470588235</v>
      </c>
    </row>
    <row r="184" spans="1:12" ht="24">
      <c r="A184" s="111" t="s">
        <v>227</v>
      </c>
      <c r="B184" s="107"/>
      <c r="C184" s="107"/>
      <c r="D184" s="107" t="s">
        <v>65</v>
      </c>
      <c r="E184" s="105" t="s">
        <v>24</v>
      </c>
      <c r="F184" s="105" t="s">
        <v>9</v>
      </c>
      <c r="G184" s="105" t="s">
        <v>196</v>
      </c>
      <c r="H184" s="105" t="s">
        <v>166</v>
      </c>
      <c r="I184" s="126">
        <f>I185</f>
        <v>1700</v>
      </c>
      <c r="J184" s="123"/>
      <c r="K184" s="125">
        <f>K185</f>
        <v>674.5401899999999</v>
      </c>
      <c r="L184" s="136">
        <f t="shared" si="2"/>
        <v>39.67883470588235</v>
      </c>
    </row>
    <row r="185" spans="1:12" ht="24">
      <c r="A185" s="108" t="s">
        <v>108</v>
      </c>
      <c r="B185" s="107"/>
      <c r="C185" s="107"/>
      <c r="D185" s="107" t="s">
        <v>65</v>
      </c>
      <c r="E185" s="105" t="s">
        <v>24</v>
      </c>
      <c r="F185" s="105" t="s">
        <v>9</v>
      </c>
      <c r="G185" s="105" t="s">
        <v>196</v>
      </c>
      <c r="H185" s="105" t="s">
        <v>109</v>
      </c>
      <c r="I185" s="126">
        <f>1500000/1000-200000/1000+400000/1000</f>
        <v>1700</v>
      </c>
      <c r="J185" s="123"/>
      <c r="K185" s="125">
        <f>674540.19/1000</f>
        <v>674.5401899999999</v>
      </c>
      <c r="L185" s="136">
        <f t="shared" si="2"/>
        <v>39.67883470588235</v>
      </c>
    </row>
    <row r="186" spans="1:12" ht="12">
      <c r="A186" s="110" t="s">
        <v>124</v>
      </c>
      <c r="B186" s="107"/>
      <c r="C186" s="107"/>
      <c r="D186" s="107" t="s">
        <v>65</v>
      </c>
      <c r="E186" s="105" t="s">
        <v>24</v>
      </c>
      <c r="F186" s="105" t="s">
        <v>9</v>
      </c>
      <c r="G186" s="105" t="s">
        <v>197</v>
      </c>
      <c r="H186" s="105"/>
      <c r="I186" s="126">
        <f>I187</f>
        <v>120</v>
      </c>
      <c r="J186" s="123"/>
      <c r="K186" s="125">
        <f>K187</f>
        <v>0</v>
      </c>
      <c r="L186" s="136">
        <f t="shared" si="2"/>
        <v>0</v>
      </c>
    </row>
    <row r="187" spans="1:12" ht="24">
      <c r="A187" s="111" t="s">
        <v>227</v>
      </c>
      <c r="B187" s="107" t="s">
        <v>80</v>
      </c>
      <c r="C187" s="107" t="s">
        <v>80</v>
      </c>
      <c r="D187" s="107" t="s">
        <v>65</v>
      </c>
      <c r="E187" s="105" t="s">
        <v>24</v>
      </c>
      <c r="F187" s="105" t="s">
        <v>9</v>
      </c>
      <c r="G187" s="105" t="s">
        <v>197</v>
      </c>
      <c r="H187" s="105" t="s">
        <v>166</v>
      </c>
      <c r="I187" s="126">
        <f>I188</f>
        <v>120</v>
      </c>
      <c r="J187" s="123"/>
      <c r="K187" s="125">
        <f>K188</f>
        <v>0</v>
      </c>
      <c r="L187" s="136">
        <f t="shared" si="2"/>
        <v>0</v>
      </c>
    </row>
    <row r="188" spans="1:12" ht="24">
      <c r="A188" s="108" t="s">
        <v>108</v>
      </c>
      <c r="B188" s="107"/>
      <c r="C188" s="107"/>
      <c r="D188" s="107" t="s">
        <v>65</v>
      </c>
      <c r="E188" s="105" t="s">
        <v>24</v>
      </c>
      <c r="F188" s="105" t="s">
        <v>9</v>
      </c>
      <c r="G188" s="105" t="s">
        <v>197</v>
      </c>
      <c r="H188" s="105" t="s">
        <v>109</v>
      </c>
      <c r="I188" s="126">
        <f>(20000+100000)/1000</f>
        <v>120</v>
      </c>
      <c r="J188" s="123"/>
      <c r="K188" s="125">
        <v>0</v>
      </c>
      <c r="L188" s="136">
        <f t="shared" si="2"/>
        <v>0</v>
      </c>
    </row>
    <row r="189" spans="1:12" ht="12">
      <c r="A189" s="110" t="s">
        <v>125</v>
      </c>
      <c r="B189" s="107"/>
      <c r="C189" s="107"/>
      <c r="D189" s="107" t="s">
        <v>65</v>
      </c>
      <c r="E189" s="105" t="s">
        <v>24</v>
      </c>
      <c r="F189" s="105" t="s">
        <v>9</v>
      </c>
      <c r="G189" s="105" t="s">
        <v>195</v>
      </c>
      <c r="H189" s="105"/>
      <c r="I189" s="126">
        <f>I190+I193</f>
        <v>2582.85216</v>
      </c>
      <c r="J189" s="123"/>
      <c r="K189" s="125">
        <f>K190+K193</f>
        <v>26.2093</v>
      </c>
      <c r="L189" s="136">
        <f t="shared" si="2"/>
        <v>1.0147425549900617</v>
      </c>
    </row>
    <row r="190" spans="1:12" ht="12">
      <c r="A190" s="110" t="s">
        <v>198</v>
      </c>
      <c r="B190" s="107" t="s">
        <v>80</v>
      </c>
      <c r="C190" s="107" t="s">
        <v>80</v>
      </c>
      <c r="D190" s="107" t="s">
        <v>65</v>
      </c>
      <c r="E190" s="105" t="s">
        <v>24</v>
      </c>
      <c r="F190" s="105" t="s">
        <v>9</v>
      </c>
      <c r="G190" s="105" t="s">
        <v>199</v>
      </c>
      <c r="H190" s="105"/>
      <c r="I190" s="126">
        <f>I191</f>
        <v>2464.03575</v>
      </c>
      <c r="J190" s="123"/>
      <c r="K190" s="125">
        <f>K191</f>
        <v>26.2093</v>
      </c>
      <c r="L190" s="136">
        <f t="shared" si="2"/>
        <v>1.063673690611023</v>
      </c>
    </row>
    <row r="191" spans="1:12" ht="24">
      <c r="A191" s="111" t="s">
        <v>227</v>
      </c>
      <c r="B191" s="107" t="s">
        <v>80</v>
      </c>
      <c r="C191" s="107" t="s">
        <v>80</v>
      </c>
      <c r="D191" s="107" t="s">
        <v>65</v>
      </c>
      <c r="E191" s="105" t="s">
        <v>24</v>
      </c>
      <c r="F191" s="105" t="s">
        <v>9</v>
      </c>
      <c r="G191" s="105" t="s">
        <v>199</v>
      </c>
      <c r="H191" s="105" t="s">
        <v>166</v>
      </c>
      <c r="I191" s="126">
        <f>I192</f>
        <v>2464.03575</v>
      </c>
      <c r="J191" s="123"/>
      <c r="K191" s="125">
        <f>K192</f>
        <v>26.2093</v>
      </c>
      <c r="L191" s="136">
        <f t="shared" si="2"/>
        <v>1.063673690611023</v>
      </c>
    </row>
    <row r="192" spans="1:12" ht="24">
      <c r="A192" s="108" t="s">
        <v>108</v>
      </c>
      <c r="B192" s="107"/>
      <c r="C192" s="107"/>
      <c r="D192" s="107" t="s">
        <v>65</v>
      </c>
      <c r="E192" s="105" t="s">
        <v>24</v>
      </c>
      <c r="F192" s="105" t="s">
        <v>9</v>
      </c>
      <c r="G192" s="105" t="s">
        <v>199</v>
      </c>
      <c r="H192" s="105" t="s">
        <v>109</v>
      </c>
      <c r="I192" s="126">
        <f>1264035.75/1000-200000/1000+1400000/1000</f>
        <v>2464.03575</v>
      </c>
      <c r="J192" s="123"/>
      <c r="K192" s="125">
        <f>26209.3/1000</f>
        <v>26.2093</v>
      </c>
      <c r="L192" s="136">
        <f t="shared" si="2"/>
        <v>1.063673690611023</v>
      </c>
    </row>
    <row r="193" spans="1:12" ht="12">
      <c r="A193" s="106" t="s">
        <v>40</v>
      </c>
      <c r="B193" s="78"/>
      <c r="C193" s="78"/>
      <c r="D193" s="107" t="s">
        <v>65</v>
      </c>
      <c r="E193" s="105" t="s">
        <v>24</v>
      </c>
      <c r="F193" s="105" t="s">
        <v>9</v>
      </c>
      <c r="G193" s="105" t="s">
        <v>199</v>
      </c>
      <c r="H193" s="105" t="s">
        <v>172</v>
      </c>
      <c r="I193" s="126">
        <f>I194</f>
        <v>118.81640999999999</v>
      </c>
      <c r="J193" s="123"/>
      <c r="K193" s="125">
        <f>K194</f>
        <v>0</v>
      </c>
      <c r="L193" s="136">
        <f t="shared" si="2"/>
        <v>0</v>
      </c>
    </row>
    <row r="194" spans="1:12" ht="12">
      <c r="A194" s="108" t="s">
        <v>226</v>
      </c>
      <c r="B194" s="78"/>
      <c r="C194" s="78"/>
      <c r="D194" s="107" t="s">
        <v>65</v>
      </c>
      <c r="E194" s="105" t="s">
        <v>24</v>
      </c>
      <c r="F194" s="105" t="s">
        <v>9</v>
      </c>
      <c r="G194" s="105" t="s">
        <v>199</v>
      </c>
      <c r="H194" s="105" t="s">
        <v>225</v>
      </c>
      <c r="I194" s="126">
        <f>300000/1000-137844.4/1000-43339.19/1000</f>
        <v>118.81640999999999</v>
      </c>
      <c r="J194" s="123"/>
      <c r="K194" s="125">
        <v>0</v>
      </c>
      <c r="L194" s="136">
        <f t="shared" si="2"/>
        <v>0</v>
      </c>
    </row>
    <row r="195" spans="1:12" ht="12" hidden="1">
      <c r="A195" s="108"/>
      <c r="B195" s="107"/>
      <c r="C195" s="107"/>
      <c r="D195" s="107"/>
      <c r="E195" s="105"/>
      <c r="F195" s="105"/>
      <c r="G195" s="105"/>
      <c r="H195" s="105"/>
      <c r="I195" s="126"/>
      <c r="J195" s="123"/>
      <c r="K195" s="125"/>
      <c r="L195" s="136" t="e">
        <f t="shared" si="2"/>
        <v>#DIV/0!</v>
      </c>
    </row>
    <row r="196" spans="1:12" ht="12">
      <c r="A196" s="112" t="s">
        <v>49</v>
      </c>
      <c r="B196" s="78" t="s">
        <v>80</v>
      </c>
      <c r="C196" s="78" t="s">
        <v>80</v>
      </c>
      <c r="D196" s="78" t="s">
        <v>65</v>
      </c>
      <c r="E196" s="79" t="s">
        <v>32</v>
      </c>
      <c r="F196" s="79"/>
      <c r="G196" s="79"/>
      <c r="H196" s="79"/>
      <c r="I196" s="122">
        <f>I197</f>
        <v>9877.01467</v>
      </c>
      <c r="J196" s="123"/>
      <c r="K196" s="124">
        <f>K197</f>
        <v>1908.8397400000001</v>
      </c>
      <c r="L196" s="136">
        <f t="shared" si="2"/>
        <v>19.326079830556736</v>
      </c>
    </row>
    <row r="197" spans="1:12" ht="12">
      <c r="A197" s="113" t="s">
        <v>95</v>
      </c>
      <c r="B197" s="78" t="s">
        <v>80</v>
      </c>
      <c r="C197" s="78" t="s">
        <v>80</v>
      </c>
      <c r="D197" s="78" t="s">
        <v>65</v>
      </c>
      <c r="E197" s="79" t="s">
        <v>32</v>
      </c>
      <c r="F197" s="79" t="s">
        <v>6</v>
      </c>
      <c r="G197" s="79"/>
      <c r="H197" s="79"/>
      <c r="I197" s="122">
        <f>I204+I223</f>
        <v>9877.01467</v>
      </c>
      <c r="J197" s="123"/>
      <c r="K197" s="124">
        <f>K204+K223</f>
        <v>1908.8397400000001</v>
      </c>
      <c r="L197" s="136">
        <f t="shared" si="2"/>
        <v>19.326079830556736</v>
      </c>
    </row>
    <row r="198" spans="1:12" ht="24" hidden="1">
      <c r="A198" s="110" t="s">
        <v>176</v>
      </c>
      <c r="B198" s="78"/>
      <c r="C198" s="78"/>
      <c r="D198" s="107" t="s">
        <v>65</v>
      </c>
      <c r="E198" s="105" t="s">
        <v>32</v>
      </c>
      <c r="F198" s="105" t="s">
        <v>6</v>
      </c>
      <c r="G198" s="105" t="s">
        <v>165</v>
      </c>
      <c r="H198" s="79"/>
      <c r="I198" s="126">
        <f>I199</f>
        <v>0</v>
      </c>
      <c r="J198" s="123"/>
      <c r="K198" s="125">
        <f>K199</f>
        <v>0</v>
      </c>
      <c r="L198" s="136" t="e">
        <f t="shared" si="2"/>
        <v>#DIV/0!</v>
      </c>
    </row>
    <row r="199" spans="1:12" ht="24" hidden="1">
      <c r="A199" s="106" t="s">
        <v>209</v>
      </c>
      <c r="B199" s="78"/>
      <c r="C199" s="78"/>
      <c r="D199" s="107" t="s">
        <v>65</v>
      </c>
      <c r="E199" s="105" t="s">
        <v>32</v>
      </c>
      <c r="F199" s="105" t="s">
        <v>6</v>
      </c>
      <c r="G199" s="105" t="s">
        <v>165</v>
      </c>
      <c r="H199" s="105" t="s">
        <v>127</v>
      </c>
      <c r="I199" s="126">
        <f>I200</f>
        <v>0</v>
      </c>
      <c r="J199" s="123"/>
      <c r="K199" s="125">
        <f>K200</f>
        <v>0</v>
      </c>
      <c r="L199" s="136" t="e">
        <f t="shared" si="2"/>
        <v>#DIV/0!</v>
      </c>
    </row>
    <row r="200" spans="1:12" ht="36" hidden="1">
      <c r="A200" s="110" t="s">
        <v>126</v>
      </c>
      <c r="B200" s="78"/>
      <c r="C200" s="78"/>
      <c r="D200" s="107" t="s">
        <v>65</v>
      </c>
      <c r="E200" s="105" t="s">
        <v>32</v>
      </c>
      <c r="F200" s="105" t="s">
        <v>6</v>
      </c>
      <c r="G200" s="105" t="s">
        <v>165</v>
      </c>
      <c r="H200" s="105" t="s">
        <v>128</v>
      </c>
      <c r="I200" s="126"/>
      <c r="J200" s="123"/>
      <c r="K200" s="125"/>
      <c r="L200" s="136" t="e">
        <f t="shared" si="2"/>
        <v>#DIV/0!</v>
      </c>
    </row>
    <row r="201" spans="1:12" ht="24" hidden="1">
      <c r="A201" s="110" t="s">
        <v>177</v>
      </c>
      <c r="B201" s="78"/>
      <c r="C201" s="78"/>
      <c r="D201" s="107" t="s">
        <v>65</v>
      </c>
      <c r="E201" s="105" t="s">
        <v>32</v>
      </c>
      <c r="F201" s="105" t="s">
        <v>6</v>
      </c>
      <c r="G201" s="105" t="s">
        <v>167</v>
      </c>
      <c r="H201" s="79"/>
      <c r="I201" s="126">
        <f>I202</f>
        <v>0</v>
      </c>
      <c r="J201" s="123"/>
      <c r="K201" s="125">
        <f>K202</f>
        <v>0</v>
      </c>
      <c r="L201" s="136" t="e">
        <f t="shared" si="2"/>
        <v>#DIV/0!</v>
      </c>
    </row>
    <row r="202" spans="1:12" ht="24" hidden="1">
      <c r="A202" s="106" t="s">
        <v>209</v>
      </c>
      <c r="B202" s="78"/>
      <c r="C202" s="78"/>
      <c r="D202" s="107" t="s">
        <v>65</v>
      </c>
      <c r="E202" s="105" t="s">
        <v>32</v>
      </c>
      <c r="F202" s="105" t="s">
        <v>6</v>
      </c>
      <c r="G202" s="105" t="s">
        <v>167</v>
      </c>
      <c r="H202" s="105" t="s">
        <v>127</v>
      </c>
      <c r="I202" s="126">
        <f>I203</f>
        <v>0</v>
      </c>
      <c r="J202" s="123"/>
      <c r="K202" s="125">
        <f>K203</f>
        <v>0</v>
      </c>
      <c r="L202" s="136" t="e">
        <f t="shared" si="2"/>
        <v>#DIV/0!</v>
      </c>
    </row>
    <row r="203" spans="1:12" ht="36" hidden="1">
      <c r="A203" s="110" t="s">
        <v>126</v>
      </c>
      <c r="B203" s="78"/>
      <c r="C203" s="78"/>
      <c r="D203" s="107" t="s">
        <v>65</v>
      </c>
      <c r="E203" s="105" t="s">
        <v>32</v>
      </c>
      <c r="F203" s="105" t="s">
        <v>6</v>
      </c>
      <c r="G203" s="105" t="s">
        <v>167</v>
      </c>
      <c r="H203" s="105" t="s">
        <v>128</v>
      </c>
      <c r="I203" s="126"/>
      <c r="J203" s="123"/>
      <c r="K203" s="125"/>
      <c r="L203" s="136" t="e">
        <f t="shared" si="2"/>
        <v>#DIV/0!</v>
      </c>
    </row>
    <row r="204" spans="1:12" ht="24">
      <c r="A204" s="108" t="s">
        <v>251</v>
      </c>
      <c r="B204" s="78"/>
      <c r="C204" s="78"/>
      <c r="D204" s="107" t="s">
        <v>65</v>
      </c>
      <c r="E204" s="105" t="s">
        <v>32</v>
      </c>
      <c r="F204" s="105" t="s">
        <v>6</v>
      </c>
      <c r="G204" s="105" t="s">
        <v>252</v>
      </c>
      <c r="H204" s="105"/>
      <c r="I204" s="126">
        <f>I205+I215+I220+I228</f>
        <v>9867.01467</v>
      </c>
      <c r="J204" s="123"/>
      <c r="K204" s="125">
        <f>K205+K215+K220+K228</f>
        <v>1898.8397400000001</v>
      </c>
      <c r="L204" s="136">
        <f t="shared" si="2"/>
        <v>19.244318606045006</v>
      </c>
    </row>
    <row r="205" spans="1:12" ht="36">
      <c r="A205" s="108" t="s">
        <v>259</v>
      </c>
      <c r="B205" s="78"/>
      <c r="C205" s="78"/>
      <c r="D205" s="107" t="s">
        <v>65</v>
      </c>
      <c r="E205" s="105" t="s">
        <v>32</v>
      </c>
      <c r="F205" s="105" t="s">
        <v>6</v>
      </c>
      <c r="G205" s="105" t="s">
        <v>253</v>
      </c>
      <c r="H205" s="105"/>
      <c r="I205" s="126">
        <f>I206+I207+I209+I210</f>
        <v>9524.31467</v>
      </c>
      <c r="J205" s="123"/>
      <c r="K205" s="125">
        <f>K206+K207+K209+K210</f>
        <v>1876.93974</v>
      </c>
      <c r="L205" s="136">
        <f t="shared" si="2"/>
        <v>19.70682201326303</v>
      </c>
    </row>
    <row r="206" spans="1:12" ht="12">
      <c r="A206" s="106" t="s">
        <v>245</v>
      </c>
      <c r="B206" s="78"/>
      <c r="C206" s="78"/>
      <c r="D206" s="107" t="s">
        <v>65</v>
      </c>
      <c r="E206" s="105" t="s">
        <v>32</v>
      </c>
      <c r="F206" s="105" t="s">
        <v>6</v>
      </c>
      <c r="G206" s="105" t="s">
        <v>253</v>
      </c>
      <c r="H206" s="105" t="s">
        <v>244</v>
      </c>
      <c r="I206" s="126">
        <f>3084950.6/1000</f>
        <v>3084.9506</v>
      </c>
      <c r="J206" s="123"/>
      <c r="K206" s="125">
        <f>583126.17/1000</f>
        <v>583.12617</v>
      </c>
      <c r="L206" s="136">
        <f t="shared" si="2"/>
        <v>18.90228550175163</v>
      </c>
    </row>
    <row r="207" spans="1:12" ht="24">
      <c r="A207" s="114" t="s">
        <v>227</v>
      </c>
      <c r="B207" s="107" t="s">
        <v>80</v>
      </c>
      <c r="C207" s="107" t="s">
        <v>80</v>
      </c>
      <c r="D207" s="107" t="s">
        <v>65</v>
      </c>
      <c r="E207" s="105" t="s">
        <v>32</v>
      </c>
      <c r="F207" s="105" t="s">
        <v>6</v>
      </c>
      <c r="G207" s="105" t="s">
        <v>253</v>
      </c>
      <c r="H207" s="105" t="s">
        <v>166</v>
      </c>
      <c r="I207" s="126">
        <f>I208</f>
        <v>6324.6540700000005</v>
      </c>
      <c r="J207" s="123"/>
      <c r="K207" s="125">
        <f>K208</f>
        <v>1268.56121</v>
      </c>
      <c r="L207" s="136">
        <f t="shared" si="2"/>
        <v>20.05740070460486</v>
      </c>
    </row>
    <row r="208" spans="1:12" ht="24">
      <c r="A208" s="106" t="s">
        <v>163</v>
      </c>
      <c r="B208" s="107" t="s">
        <v>80</v>
      </c>
      <c r="C208" s="107" t="s">
        <v>80</v>
      </c>
      <c r="D208" s="107" t="s">
        <v>65</v>
      </c>
      <c r="E208" s="105" t="s">
        <v>32</v>
      </c>
      <c r="F208" s="105" t="s">
        <v>6</v>
      </c>
      <c r="G208" s="105" t="s">
        <v>253</v>
      </c>
      <c r="H208" s="105" t="s">
        <v>109</v>
      </c>
      <c r="I208" s="126">
        <f>5534654.07/1000+100000/1000+190000/1000+100000/1000+400000/1000</f>
        <v>6324.6540700000005</v>
      </c>
      <c r="J208" s="123"/>
      <c r="K208" s="125">
        <f>1268561.21/1000</f>
        <v>1268.56121</v>
      </c>
      <c r="L208" s="136">
        <f aca="true" t="shared" si="3" ref="L208:L259">K208/I208*100</f>
        <v>20.05740070460486</v>
      </c>
    </row>
    <row r="209" spans="1:12" ht="24">
      <c r="A209" s="106" t="s">
        <v>237</v>
      </c>
      <c r="B209" s="107"/>
      <c r="C209" s="107"/>
      <c r="D209" s="107" t="s">
        <v>65</v>
      </c>
      <c r="E209" s="105" t="s">
        <v>32</v>
      </c>
      <c r="F209" s="105" t="s">
        <v>6</v>
      </c>
      <c r="G209" s="105" t="s">
        <v>253</v>
      </c>
      <c r="H209" s="105" t="s">
        <v>236</v>
      </c>
      <c r="I209" s="126">
        <f>'[1]0801 '!$D$70/1000</f>
        <v>98.89</v>
      </c>
      <c r="J209" s="123"/>
      <c r="K209" s="125">
        <f>22509.46/1000</f>
        <v>22.50946</v>
      </c>
      <c r="L209" s="136">
        <f t="shared" si="3"/>
        <v>22.76211952674689</v>
      </c>
    </row>
    <row r="210" spans="1:12" ht="12">
      <c r="A210" s="115" t="s">
        <v>86</v>
      </c>
      <c r="B210" s="107"/>
      <c r="C210" s="107"/>
      <c r="D210" s="107" t="s">
        <v>65</v>
      </c>
      <c r="E210" s="105" t="s">
        <v>32</v>
      </c>
      <c r="F210" s="105" t="s">
        <v>6</v>
      </c>
      <c r="G210" s="105" t="s">
        <v>253</v>
      </c>
      <c r="H210" s="105" t="s">
        <v>87</v>
      </c>
      <c r="I210" s="126">
        <f>I212+I211</f>
        <v>15.82</v>
      </c>
      <c r="J210" s="123"/>
      <c r="K210" s="125">
        <f>K212+K211</f>
        <v>2.7429</v>
      </c>
      <c r="L210" s="136">
        <f t="shared" si="3"/>
        <v>17.33817951959545</v>
      </c>
    </row>
    <row r="211" spans="1:12" ht="12" hidden="1">
      <c r="A211" s="115" t="s">
        <v>214</v>
      </c>
      <c r="B211" s="107"/>
      <c r="C211" s="107"/>
      <c r="D211" s="107" t="s">
        <v>65</v>
      </c>
      <c r="E211" s="105" t="s">
        <v>6</v>
      </c>
      <c r="F211" s="105" t="s">
        <v>11</v>
      </c>
      <c r="G211" s="105" t="s">
        <v>276</v>
      </c>
      <c r="H211" s="105" t="s">
        <v>213</v>
      </c>
      <c r="I211" s="126">
        <v>0</v>
      </c>
      <c r="J211" s="123"/>
      <c r="K211" s="125">
        <v>0</v>
      </c>
      <c r="L211" s="136" t="e">
        <f t="shared" si="3"/>
        <v>#DIV/0!</v>
      </c>
    </row>
    <row r="212" spans="1:12" ht="12">
      <c r="A212" s="115" t="s">
        <v>112</v>
      </c>
      <c r="B212" s="107"/>
      <c r="C212" s="107"/>
      <c r="D212" s="107" t="s">
        <v>65</v>
      </c>
      <c r="E212" s="105" t="s">
        <v>32</v>
      </c>
      <c r="F212" s="105" t="s">
        <v>6</v>
      </c>
      <c r="G212" s="105" t="s">
        <v>253</v>
      </c>
      <c r="H212" s="105" t="s">
        <v>113</v>
      </c>
      <c r="I212" s="126">
        <f>15820/1000</f>
        <v>15.82</v>
      </c>
      <c r="J212" s="123"/>
      <c r="K212" s="125">
        <f>2742.9/1000</f>
        <v>2.7429</v>
      </c>
      <c r="L212" s="136">
        <f t="shared" si="3"/>
        <v>17.33817951959545</v>
      </c>
    </row>
    <row r="213" spans="1:12" ht="24" hidden="1">
      <c r="A213" s="106" t="s">
        <v>209</v>
      </c>
      <c r="B213" s="107"/>
      <c r="C213" s="107"/>
      <c r="D213" s="107" t="s">
        <v>65</v>
      </c>
      <c r="E213" s="105" t="s">
        <v>32</v>
      </c>
      <c r="F213" s="105" t="s">
        <v>6</v>
      </c>
      <c r="G213" s="105" t="s">
        <v>212</v>
      </c>
      <c r="H213" s="105" t="s">
        <v>127</v>
      </c>
      <c r="I213" s="126">
        <f>I214</f>
        <v>0</v>
      </c>
      <c r="J213" s="123"/>
      <c r="K213" s="125">
        <f>K214</f>
        <v>0</v>
      </c>
      <c r="L213" s="136" t="e">
        <f t="shared" si="3"/>
        <v>#DIV/0!</v>
      </c>
    </row>
    <row r="214" spans="1:12" ht="12" hidden="1">
      <c r="A214" s="110" t="s">
        <v>151</v>
      </c>
      <c r="B214" s="107"/>
      <c r="C214" s="107"/>
      <c r="D214" s="107" t="s">
        <v>65</v>
      </c>
      <c r="E214" s="105" t="s">
        <v>32</v>
      </c>
      <c r="F214" s="105" t="s">
        <v>6</v>
      </c>
      <c r="G214" s="105" t="s">
        <v>212</v>
      </c>
      <c r="H214" s="105" t="s">
        <v>152</v>
      </c>
      <c r="I214" s="126"/>
      <c r="J214" s="123"/>
      <c r="K214" s="125"/>
      <c r="L214" s="136" t="e">
        <f t="shared" si="3"/>
        <v>#DIV/0!</v>
      </c>
    </row>
    <row r="215" spans="1:12" ht="48">
      <c r="A215" s="110" t="s">
        <v>150</v>
      </c>
      <c r="B215" s="107"/>
      <c r="C215" s="107"/>
      <c r="D215" s="107" t="s">
        <v>65</v>
      </c>
      <c r="E215" s="105" t="s">
        <v>32</v>
      </c>
      <c r="F215" s="105" t="s">
        <v>6</v>
      </c>
      <c r="G215" s="105" t="s">
        <v>262</v>
      </c>
      <c r="H215" s="105"/>
      <c r="I215" s="126">
        <f>I216</f>
        <v>6.7</v>
      </c>
      <c r="J215" s="123"/>
      <c r="K215" s="125">
        <f>K216</f>
        <v>0</v>
      </c>
      <c r="L215" s="136">
        <f t="shared" si="3"/>
        <v>0</v>
      </c>
    </row>
    <row r="216" spans="1:12" ht="12">
      <c r="A216" s="106" t="s">
        <v>245</v>
      </c>
      <c r="B216" s="107"/>
      <c r="C216" s="107"/>
      <c r="D216" s="107" t="s">
        <v>65</v>
      </c>
      <c r="E216" s="105" t="s">
        <v>32</v>
      </c>
      <c r="F216" s="105" t="s">
        <v>6</v>
      </c>
      <c r="G216" s="105" t="s">
        <v>262</v>
      </c>
      <c r="H216" s="105" t="s">
        <v>244</v>
      </c>
      <c r="I216" s="126">
        <f>6700/1000</f>
        <v>6.7</v>
      </c>
      <c r="J216" s="123"/>
      <c r="K216" s="125">
        <v>0</v>
      </c>
      <c r="L216" s="136">
        <f t="shared" si="3"/>
        <v>0</v>
      </c>
    </row>
    <row r="217" spans="1:12" ht="36" hidden="1">
      <c r="A217" s="108" t="s">
        <v>254</v>
      </c>
      <c r="B217" s="107"/>
      <c r="C217" s="107"/>
      <c r="D217" s="107" t="s">
        <v>65</v>
      </c>
      <c r="E217" s="105" t="s">
        <v>32</v>
      </c>
      <c r="F217" s="105" t="s">
        <v>6</v>
      </c>
      <c r="G217" s="105" t="s">
        <v>255</v>
      </c>
      <c r="H217" s="105"/>
      <c r="I217" s="126">
        <f>I218</f>
        <v>0</v>
      </c>
      <c r="J217" s="123"/>
      <c r="K217" s="125">
        <f>K218</f>
        <v>0</v>
      </c>
      <c r="L217" s="136" t="e">
        <f t="shared" si="3"/>
        <v>#DIV/0!</v>
      </c>
    </row>
    <row r="218" spans="1:12" ht="24" hidden="1">
      <c r="A218" s="114" t="s">
        <v>227</v>
      </c>
      <c r="B218" s="107" t="s">
        <v>80</v>
      </c>
      <c r="C218" s="107" t="s">
        <v>80</v>
      </c>
      <c r="D218" s="107" t="s">
        <v>65</v>
      </c>
      <c r="E218" s="105" t="s">
        <v>32</v>
      </c>
      <c r="F218" s="105" t="s">
        <v>6</v>
      </c>
      <c r="G218" s="105" t="s">
        <v>255</v>
      </c>
      <c r="H218" s="105" t="s">
        <v>166</v>
      </c>
      <c r="I218" s="126">
        <f>I219</f>
        <v>0</v>
      </c>
      <c r="J218" s="123"/>
      <c r="K218" s="125">
        <f>K219</f>
        <v>0</v>
      </c>
      <c r="L218" s="136" t="e">
        <f t="shared" si="3"/>
        <v>#DIV/0!</v>
      </c>
    </row>
    <row r="219" spans="1:12" ht="24" hidden="1">
      <c r="A219" s="106" t="s">
        <v>163</v>
      </c>
      <c r="B219" s="107" t="s">
        <v>80</v>
      </c>
      <c r="C219" s="107" t="s">
        <v>80</v>
      </c>
      <c r="D219" s="107" t="s">
        <v>65</v>
      </c>
      <c r="E219" s="105" t="s">
        <v>32</v>
      </c>
      <c r="F219" s="105" t="s">
        <v>6</v>
      </c>
      <c r="G219" s="105" t="s">
        <v>255</v>
      </c>
      <c r="H219" s="105" t="s">
        <v>109</v>
      </c>
      <c r="I219" s="126">
        <f>(100000-100000)/1000</f>
        <v>0</v>
      </c>
      <c r="J219" s="123"/>
      <c r="K219" s="125">
        <f>(100000-100000)/1000</f>
        <v>0</v>
      </c>
      <c r="L219" s="136" t="e">
        <f t="shared" si="3"/>
        <v>#DIV/0!</v>
      </c>
    </row>
    <row r="220" spans="1:12" ht="60">
      <c r="A220" s="108" t="s">
        <v>268</v>
      </c>
      <c r="B220" s="107"/>
      <c r="C220" s="107"/>
      <c r="D220" s="107" t="s">
        <v>65</v>
      </c>
      <c r="E220" s="105" t="s">
        <v>32</v>
      </c>
      <c r="F220" s="105" t="s">
        <v>6</v>
      </c>
      <c r="G220" s="105" t="s">
        <v>267</v>
      </c>
      <c r="H220" s="105"/>
      <c r="I220" s="126">
        <f>I221</f>
        <v>146</v>
      </c>
      <c r="J220" s="123"/>
      <c r="K220" s="125">
        <f>K221</f>
        <v>21.9</v>
      </c>
      <c r="L220" s="136">
        <f t="shared" si="3"/>
        <v>15</v>
      </c>
    </row>
    <row r="221" spans="1:12" ht="24">
      <c r="A221" s="114" t="s">
        <v>227</v>
      </c>
      <c r="B221" s="107" t="s">
        <v>80</v>
      </c>
      <c r="C221" s="107" t="s">
        <v>80</v>
      </c>
      <c r="D221" s="107" t="s">
        <v>65</v>
      </c>
      <c r="E221" s="105" t="s">
        <v>32</v>
      </c>
      <c r="F221" s="105" t="s">
        <v>6</v>
      </c>
      <c r="G221" s="105" t="s">
        <v>267</v>
      </c>
      <c r="H221" s="105" t="s">
        <v>166</v>
      </c>
      <c r="I221" s="126">
        <f>I222</f>
        <v>146</v>
      </c>
      <c r="J221" s="123"/>
      <c r="K221" s="125">
        <f>K222</f>
        <v>21.9</v>
      </c>
      <c r="L221" s="136">
        <f t="shared" si="3"/>
        <v>15</v>
      </c>
    </row>
    <row r="222" spans="1:12" ht="24">
      <c r="A222" s="106" t="s">
        <v>163</v>
      </c>
      <c r="B222" s="107" t="s">
        <v>80</v>
      </c>
      <c r="C222" s="107" t="s">
        <v>80</v>
      </c>
      <c r="D222" s="107" t="s">
        <v>65</v>
      </c>
      <c r="E222" s="105" t="s">
        <v>32</v>
      </c>
      <c r="F222" s="105" t="s">
        <v>6</v>
      </c>
      <c r="G222" s="105" t="s">
        <v>267</v>
      </c>
      <c r="H222" s="105" t="s">
        <v>109</v>
      </c>
      <c r="I222" s="126">
        <f>146000/1000</f>
        <v>146</v>
      </c>
      <c r="J222" s="123"/>
      <c r="K222" s="125">
        <f>21900/1000</f>
        <v>21.9</v>
      </c>
      <c r="L222" s="136">
        <f t="shared" si="3"/>
        <v>15</v>
      </c>
    </row>
    <row r="223" spans="1:12" ht="24">
      <c r="A223" s="110" t="s">
        <v>270</v>
      </c>
      <c r="B223" s="107"/>
      <c r="C223" s="107"/>
      <c r="D223" s="107" t="s">
        <v>65</v>
      </c>
      <c r="E223" s="105" t="s">
        <v>32</v>
      </c>
      <c r="F223" s="105" t="s">
        <v>6</v>
      </c>
      <c r="G223" s="105" t="s">
        <v>274</v>
      </c>
      <c r="H223" s="105"/>
      <c r="I223" s="126">
        <f>I224</f>
        <v>10</v>
      </c>
      <c r="J223" s="123"/>
      <c r="K223" s="125">
        <f>K224</f>
        <v>10</v>
      </c>
      <c r="L223" s="136">
        <f t="shared" si="3"/>
        <v>100</v>
      </c>
    </row>
    <row r="224" spans="1:12" ht="12">
      <c r="A224" s="116" t="s">
        <v>40</v>
      </c>
      <c r="B224" s="107" t="s">
        <v>80</v>
      </c>
      <c r="C224" s="107" t="s">
        <v>80</v>
      </c>
      <c r="D224" s="107" t="s">
        <v>65</v>
      </c>
      <c r="E224" s="105" t="s">
        <v>32</v>
      </c>
      <c r="F224" s="105" t="s">
        <v>6</v>
      </c>
      <c r="G224" s="105" t="s">
        <v>274</v>
      </c>
      <c r="H224" s="105" t="s">
        <v>172</v>
      </c>
      <c r="I224" s="126">
        <f>I225</f>
        <v>10</v>
      </c>
      <c r="J224" s="123"/>
      <c r="K224" s="125">
        <f>K225</f>
        <v>10</v>
      </c>
      <c r="L224" s="136">
        <f t="shared" si="3"/>
        <v>100</v>
      </c>
    </row>
    <row r="225" spans="1:12" ht="12">
      <c r="A225" s="108" t="s">
        <v>226</v>
      </c>
      <c r="B225" s="107" t="s">
        <v>80</v>
      </c>
      <c r="C225" s="107" t="s">
        <v>80</v>
      </c>
      <c r="D225" s="107" t="s">
        <v>65</v>
      </c>
      <c r="E225" s="105" t="s">
        <v>32</v>
      </c>
      <c r="F225" s="105" t="s">
        <v>6</v>
      </c>
      <c r="G225" s="105" t="s">
        <v>274</v>
      </c>
      <c r="H225" s="105" t="s">
        <v>225</v>
      </c>
      <c r="I225" s="126">
        <f>10000/1000</f>
        <v>10</v>
      </c>
      <c r="J225" s="123"/>
      <c r="K225" s="125">
        <f>10000/1000</f>
        <v>10</v>
      </c>
      <c r="L225" s="136">
        <f t="shared" si="3"/>
        <v>100</v>
      </c>
    </row>
    <row r="226" spans="1:12" ht="48" hidden="1">
      <c r="A226" s="108" t="s">
        <v>265</v>
      </c>
      <c r="B226" s="78"/>
      <c r="C226" s="78"/>
      <c r="D226" s="107" t="s">
        <v>65</v>
      </c>
      <c r="E226" s="105" t="s">
        <v>32</v>
      </c>
      <c r="F226" s="105" t="s">
        <v>6</v>
      </c>
      <c r="G226" s="105" t="s">
        <v>261</v>
      </c>
      <c r="H226" s="105"/>
      <c r="I226" s="126">
        <f>I227</f>
        <v>0</v>
      </c>
      <c r="J226" s="123"/>
      <c r="K226" s="125">
        <f>K227</f>
        <v>0</v>
      </c>
      <c r="L226" s="136" t="e">
        <f t="shared" si="3"/>
        <v>#DIV/0!</v>
      </c>
    </row>
    <row r="227" spans="1:12" ht="12" hidden="1">
      <c r="A227" s="106" t="s">
        <v>245</v>
      </c>
      <c r="B227" s="78"/>
      <c r="C227" s="78"/>
      <c r="D227" s="107" t="s">
        <v>65</v>
      </c>
      <c r="E227" s="105" t="s">
        <v>32</v>
      </c>
      <c r="F227" s="105" t="s">
        <v>6</v>
      </c>
      <c r="G227" s="105" t="s">
        <v>261</v>
      </c>
      <c r="H227" s="105" t="s">
        <v>244</v>
      </c>
      <c r="I227" s="126">
        <v>0</v>
      </c>
      <c r="J227" s="123"/>
      <c r="K227" s="125">
        <v>0</v>
      </c>
      <c r="L227" s="136" t="e">
        <f t="shared" si="3"/>
        <v>#DIV/0!</v>
      </c>
    </row>
    <row r="228" spans="1:12" ht="24">
      <c r="A228" s="110" t="s">
        <v>270</v>
      </c>
      <c r="B228" s="78"/>
      <c r="C228" s="78"/>
      <c r="D228" s="107" t="s">
        <v>65</v>
      </c>
      <c r="E228" s="105" t="s">
        <v>32</v>
      </c>
      <c r="F228" s="105" t="s">
        <v>6</v>
      </c>
      <c r="G228" s="84" t="s">
        <v>253</v>
      </c>
      <c r="H228" s="105"/>
      <c r="I228" s="126">
        <f>I229</f>
        <v>190</v>
      </c>
      <c r="J228" s="123"/>
      <c r="K228" s="125">
        <f>K229</f>
        <v>0</v>
      </c>
      <c r="L228" s="136">
        <f t="shared" si="3"/>
        <v>0</v>
      </c>
    </row>
    <row r="229" spans="1:12" ht="12">
      <c r="A229" s="116" t="s">
        <v>40</v>
      </c>
      <c r="B229" s="81"/>
      <c r="C229" s="81"/>
      <c r="D229" s="83" t="s">
        <v>65</v>
      </c>
      <c r="E229" s="84" t="s">
        <v>32</v>
      </c>
      <c r="F229" s="84" t="s">
        <v>6</v>
      </c>
      <c r="G229" s="84" t="s">
        <v>253</v>
      </c>
      <c r="H229" s="84" t="s">
        <v>172</v>
      </c>
      <c r="I229" s="126">
        <f>I230</f>
        <v>190</v>
      </c>
      <c r="J229" s="123"/>
      <c r="K229" s="125">
        <f>K230</f>
        <v>0</v>
      </c>
      <c r="L229" s="136">
        <f t="shared" si="3"/>
        <v>0</v>
      </c>
    </row>
    <row r="230" spans="1:12" ht="12">
      <c r="A230" s="108" t="s">
        <v>226</v>
      </c>
      <c r="B230" s="81"/>
      <c r="C230" s="81"/>
      <c r="D230" s="83" t="s">
        <v>65</v>
      </c>
      <c r="E230" s="84" t="s">
        <v>32</v>
      </c>
      <c r="F230" s="84" t="s">
        <v>6</v>
      </c>
      <c r="G230" s="84" t="s">
        <v>253</v>
      </c>
      <c r="H230" s="84" t="s">
        <v>225</v>
      </c>
      <c r="I230" s="126">
        <f>100000/1000+100000/1000-10000/1000</f>
        <v>190</v>
      </c>
      <c r="J230" s="123"/>
      <c r="K230" s="125">
        <v>0</v>
      </c>
      <c r="L230" s="136">
        <f t="shared" si="3"/>
        <v>0</v>
      </c>
    </row>
    <row r="231" spans="1:12" ht="12" hidden="1">
      <c r="A231" s="87" t="s">
        <v>264</v>
      </c>
      <c r="B231" s="81"/>
      <c r="C231" s="81"/>
      <c r="D231" s="83" t="s">
        <v>65</v>
      </c>
      <c r="E231" s="84" t="s">
        <v>32</v>
      </c>
      <c r="F231" s="84" t="s">
        <v>6</v>
      </c>
      <c r="G231" s="84" t="s">
        <v>266</v>
      </c>
      <c r="H231" s="84"/>
      <c r="I231" s="126">
        <f>I232</f>
        <v>0</v>
      </c>
      <c r="J231" s="123"/>
      <c r="K231" s="125">
        <f>K232</f>
        <v>0</v>
      </c>
      <c r="L231" s="136" t="e">
        <f t="shared" si="3"/>
        <v>#DIV/0!</v>
      </c>
    </row>
    <row r="232" spans="1:12" ht="12" hidden="1">
      <c r="A232" s="87" t="s">
        <v>245</v>
      </c>
      <c r="B232" s="81"/>
      <c r="C232" s="81"/>
      <c r="D232" s="83" t="s">
        <v>65</v>
      </c>
      <c r="E232" s="84" t="s">
        <v>32</v>
      </c>
      <c r="F232" s="84" t="s">
        <v>6</v>
      </c>
      <c r="G232" s="84" t="s">
        <v>266</v>
      </c>
      <c r="H232" s="84" t="s">
        <v>244</v>
      </c>
      <c r="I232" s="126">
        <v>0</v>
      </c>
      <c r="J232" s="123"/>
      <c r="K232" s="125">
        <v>0</v>
      </c>
      <c r="L232" s="136" t="e">
        <f t="shared" si="3"/>
        <v>#DIV/0!</v>
      </c>
    </row>
    <row r="233" spans="1:12" ht="12">
      <c r="A233" s="99" t="s">
        <v>129</v>
      </c>
      <c r="B233" s="81"/>
      <c r="C233" s="81"/>
      <c r="D233" s="81" t="s">
        <v>65</v>
      </c>
      <c r="E233" s="76" t="s">
        <v>48</v>
      </c>
      <c r="F233" s="76"/>
      <c r="G233" s="76"/>
      <c r="H233" s="76"/>
      <c r="I233" s="122">
        <f>I234+I248</f>
        <v>53.656800000000004</v>
      </c>
      <c r="J233" s="123"/>
      <c r="K233" s="124">
        <f>K234+K248</f>
        <v>12.65241</v>
      </c>
      <c r="L233" s="136">
        <f t="shared" si="3"/>
        <v>23.58025450641857</v>
      </c>
    </row>
    <row r="234" spans="1:12" ht="12">
      <c r="A234" s="82" t="s">
        <v>37</v>
      </c>
      <c r="B234" s="83"/>
      <c r="C234" s="83"/>
      <c r="D234" s="83" t="s">
        <v>65</v>
      </c>
      <c r="E234" s="84" t="s">
        <v>48</v>
      </c>
      <c r="F234" s="84" t="s">
        <v>6</v>
      </c>
      <c r="G234" s="84"/>
      <c r="H234" s="84"/>
      <c r="I234" s="126">
        <f>I235</f>
        <v>53.656800000000004</v>
      </c>
      <c r="J234" s="127"/>
      <c r="K234" s="125">
        <f>K235</f>
        <v>12.65241</v>
      </c>
      <c r="L234" s="136">
        <f t="shared" si="3"/>
        <v>23.58025450641857</v>
      </c>
    </row>
    <row r="235" spans="1:12" ht="12">
      <c r="A235" s="82" t="s">
        <v>59</v>
      </c>
      <c r="B235" s="83"/>
      <c r="C235" s="83"/>
      <c r="D235" s="83" t="s">
        <v>65</v>
      </c>
      <c r="E235" s="84" t="s">
        <v>48</v>
      </c>
      <c r="F235" s="84" t="s">
        <v>6</v>
      </c>
      <c r="G235" s="84" t="s">
        <v>200</v>
      </c>
      <c r="H235" s="84"/>
      <c r="I235" s="126">
        <f>I236</f>
        <v>53.656800000000004</v>
      </c>
      <c r="J235" s="127"/>
      <c r="K235" s="125">
        <f>K236</f>
        <v>12.65241</v>
      </c>
      <c r="L235" s="136">
        <f t="shared" si="3"/>
        <v>23.58025450641857</v>
      </c>
    </row>
    <row r="236" spans="1:12" ht="24">
      <c r="A236" s="85" t="s">
        <v>60</v>
      </c>
      <c r="B236" s="83"/>
      <c r="C236" s="83"/>
      <c r="D236" s="83" t="s">
        <v>65</v>
      </c>
      <c r="E236" s="84" t="s">
        <v>48</v>
      </c>
      <c r="F236" s="84" t="s">
        <v>6</v>
      </c>
      <c r="G236" s="84" t="s">
        <v>201</v>
      </c>
      <c r="H236" s="84"/>
      <c r="I236" s="126">
        <f>I237</f>
        <v>53.656800000000004</v>
      </c>
      <c r="J236" s="127"/>
      <c r="K236" s="125">
        <f>K237</f>
        <v>12.65241</v>
      </c>
      <c r="L236" s="136">
        <f t="shared" si="3"/>
        <v>23.58025450641857</v>
      </c>
    </row>
    <row r="237" spans="1:12" ht="24">
      <c r="A237" s="85" t="s">
        <v>134</v>
      </c>
      <c r="B237" s="83"/>
      <c r="C237" s="83"/>
      <c r="D237" s="83" t="s">
        <v>65</v>
      </c>
      <c r="E237" s="84" t="s">
        <v>48</v>
      </c>
      <c r="F237" s="84" t="s">
        <v>6</v>
      </c>
      <c r="G237" s="84" t="s">
        <v>201</v>
      </c>
      <c r="H237" s="84" t="s">
        <v>133</v>
      </c>
      <c r="I237" s="126">
        <f>I238</f>
        <v>53.656800000000004</v>
      </c>
      <c r="J237" s="127"/>
      <c r="K237" s="125">
        <f>K238</f>
        <v>12.65241</v>
      </c>
      <c r="L237" s="136">
        <f t="shared" si="3"/>
        <v>23.58025450641857</v>
      </c>
    </row>
    <row r="238" spans="1:12" ht="12">
      <c r="A238" s="85" t="s">
        <v>222</v>
      </c>
      <c r="B238" s="83"/>
      <c r="C238" s="83"/>
      <c r="D238" s="83" t="s">
        <v>65</v>
      </c>
      <c r="E238" s="84" t="s">
        <v>48</v>
      </c>
      <c r="F238" s="84" t="s">
        <v>6</v>
      </c>
      <c r="G238" s="84" t="s">
        <v>201</v>
      </c>
      <c r="H238" s="84" t="s">
        <v>221</v>
      </c>
      <c r="I238" s="126">
        <f>53656.8/1000</f>
        <v>53.656800000000004</v>
      </c>
      <c r="J238" s="127"/>
      <c r="K238" s="125">
        <f>12652.41/1000</f>
        <v>12.65241</v>
      </c>
      <c r="L238" s="136">
        <f t="shared" si="3"/>
        <v>23.58025450641857</v>
      </c>
    </row>
    <row r="239" spans="1:12" ht="12" hidden="1">
      <c r="A239" s="82" t="s">
        <v>38</v>
      </c>
      <c r="B239" s="83"/>
      <c r="C239" s="83"/>
      <c r="D239" s="83" t="s">
        <v>65</v>
      </c>
      <c r="E239" s="84" t="s">
        <v>48</v>
      </c>
      <c r="F239" s="84" t="s">
        <v>9</v>
      </c>
      <c r="G239" s="84"/>
      <c r="H239" s="84"/>
      <c r="I239" s="126">
        <f>I240</f>
        <v>0</v>
      </c>
      <c r="J239" s="127"/>
      <c r="K239" s="125">
        <f>K240</f>
        <v>0</v>
      </c>
      <c r="L239" s="136" t="e">
        <f t="shared" si="3"/>
        <v>#DIV/0!</v>
      </c>
    </row>
    <row r="240" spans="1:12" ht="36" hidden="1">
      <c r="A240" s="82" t="s">
        <v>130</v>
      </c>
      <c r="B240" s="83"/>
      <c r="C240" s="83"/>
      <c r="D240" s="83" t="s">
        <v>65</v>
      </c>
      <c r="E240" s="84" t="s">
        <v>48</v>
      </c>
      <c r="F240" s="84" t="s">
        <v>9</v>
      </c>
      <c r="G240" s="84" t="s">
        <v>137</v>
      </c>
      <c r="H240" s="84"/>
      <c r="I240" s="126">
        <f>I241</f>
        <v>0</v>
      </c>
      <c r="J240" s="127"/>
      <c r="K240" s="125">
        <f>K241</f>
        <v>0</v>
      </c>
      <c r="L240" s="136" t="e">
        <f t="shared" si="3"/>
        <v>#DIV/0!</v>
      </c>
    </row>
    <row r="241" spans="1:12" ht="36" hidden="1">
      <c r="A241" s="82" t="s">
        <v>74</v>
      </c>
      <c r="B241" s="83"/>
      <c r="C241" s="83"/>
      <c r="D241" s="83" t="s">
        <v>65</v>
      </c>
      <c r="E241" s="84" t="s">
        <v>48</v>
      </c>
      <c r="F241" s="84" t="s">
        <v>9</v>
      </c>
      <c r="G241" s="84" t="s">
        <v>138</v>
      </c>
      <c r="H241" s="84"/>
      <c r="I241" s="126">
        <f>I242</f>
        <v>0</v>
      </c>
      <c r="J241" s="127"/>
      <c r="K241" s="125">
        <f>K242</f>
        <v>0</v>
      </c>
      <c r="L241" s="136" t="e">
        <f t="shared" si="3"/>
        <v>#DIV/0!</v>
      </c>
    </row>
    <row r="242" spans="1:12" ht="24" hidden="1">
      <c r="A242" s="85" t="s">
        <v>134</v>
      </c>
      <c r="B242" s="83"/>
      <c r="C242" s="83"/>
      <c r="D242" s="83" t="s">
        <v>65</v>
      </c>
      <c r="E242" s="84" t="s">
        <v>48</v>
      </c>
      <c r="F242" s="84" t="s">
        <v>9</v>
      </c>
      <c r="G242" s="84" t="s">
        <v>138</v>
      </c>
      <c r="H242" s="84" t="s">
        <v>133</v>
      </c>
      <c r="I242" s="126">
        <f>I243</f>
        <v>0</v>
      </c>
      <c r="J242" s="127"/>
      <c r="K242" s="125">
        <f>K243</f>
        <v>0</v>
      </c>
      <c r="L242" s="136" t="e">
        <f t="shared" si="3"/>
        <v>#DIV/0!</v>
      </c>
    </row>
    <row r="243" spans="1:12" ht="12" hidden="1">
      <c r="A243" s="82" t="s">
        <v>131</v>
      </c>
      <c r="B243" s="83"/>
      <c r="C243" s="83"/>
      <c r="D243" s="83" t="s">
        <v>65</v>
      </c>
      <c r="E243" s="84" t="s">
        <v>48</v>
      </c>
      <c r="F243" s="84" t="s">
        <v>9</v>
      </c>
      <c r="G243" s="84" t="s">
        <v>138</v>
      </c>
      <c r="H243" s="84" t="s">
        <v>132</v>
      </c>
      <c r="I243" s="126">
        <v>0</v>
      </c>
      <c r="J243" s="127"/>
      <c r="K243" s="125">
        <v>0</v>
      </c>
      <c r="L243" s="136" t="e">
        <f t="shared" si="3"/>
        <v>#DIV/0!</v>
      </c>
    </row>
    <row r="244" spans="1:12" ht="12" hidden="1">
      <c r="A244" s="82" t="s">
        <v>143</v>
      </c>
      <c r="B244" s="83"/>
      <c r="C244" s="83"/>
      <c r="D244" s="83" t="s">
        <v>65</v>
      </c>
      <c r="E244" s="84" t="s">
        <v>48</v>
      </c>
      <c r="F244" s="84" t="s">
        <v>11</v>
      </c>
      <c r="G244" s="84"/>
      <c r="H244" s="84"/>
      <c r="I244" s="126">
        <f>I245</f>
        <v>0</v>
      </c>
      <c r="J244" s="127"/>
      <c r="K244" s="125">
        <f>K245</f>
        <v>0</v>
      </c>
      <c r="L244" s="136" t="e">
        <f t="shared" si="3"/>
        <v>#DIV/0!</v>
      </c>
    </row>
    <row r="245" spans="1:12" ht="12" hidden="1">
      <c r="A245" s="82" t="s">
        <v>149</v>
      </c>
      <c r="B245" s="83"/>
      <c r="C245" s="83"/>
      <c r="D245" s="83" t="s">
        <v>65</v>
      </c>
      <c r="E245" s="84" t="s">
        <v>48</v>
      </c>
      <c r="F245" s="84" t="s">
        <v>11</v>
      </c>
      <c r="G245" s="84" t="s">
        <v>147</v>
      </c>
      <c r="H245" s="84"/>
      <c r="I245" s="126">
        <f>I246</f>
        <v>0</v>
      </c>
      <c r="J245" s="127"/>
      <c r="K245" s="125">
        <f>K246</f>
        <v>0</v>
      </c>
      <c r="L245" s="136" t="e">
        <f t="shared" si="3"/>
        <v>#DIV/0!</v>
      </c>
    </row>
    <row r="246" spans="1:12" ht="12" hidden="1">
      <c r="A246" s="82" t="s">
        <v>148</v>
      </c>
      <c r="B246" s="83"/>
      <c r="C246" s="83"/>
      <c r="D246" s="83" t="s">
        <v>65</v>
      </c>
      <c r="E246" s="84" t="s">
        <v>48</v>
      </c>
      <c r="F246" s="84" t="s">
        <v>11</v>
      </c>
      <c r="G246" s="84" t="s">
        <v>138</v>
      </c>
      <c r="H246" s="84" t="s">
        <v>145</v>
      </c>
      <c r="I246" s="126">
        <f>I247</f>
        <v>0</v>
      </c>
      <c r="J246" s="127"/>
      <c r="K246" s="125">
        <f>K247</f>
        <v>0</v>
      </c>
      <c r="L246" s="136" t="e">
        <f t="shared" si="3"/>
        <v>#DIV/0!</v>
      </c>
    </row>
    <row r="247" spans="1:12" ht="24" hidden="1">
      <c r="A247" s="82" t="s">
        <v>144</v>
      </c>
      <c r="B247" s="83"/>
      <c r="C247" s="83"/>
      <c r="D247" s="83" t="s">
        <v>65</v>
      </c>
      <c r="E247" s="84" t="s">
        <v>48</v>
      </c>
      <c r="F247" s="84" t="s">
        <v>11</v>
      </c>
      <c r="G247" s="84" t="s">
        <v>138</v>
      </c>
      <c r="H247" s="84" t="s">
        <v>146</v>
      </c>
      <c r="I247" s="126">
        <f>(2505170-1087840-1417330)/1000</f>
        <v>0</v>
      </c>
      <c r="J247" s="127"/>
      <c r="K247" s="125">
        <f>(2505170-1087840-1417330)/1000</f>
        <v>0</v>
      </c>
      <c r="L247" s="136" t="e">
        <f t="shared" si="3"/>
        <v>#DIV/0!</v>
      </c>
    </row>
    <row r="248" spans="1:12" ht="12" hidden="1">
      <c r="A248" s="82" t="s">
        <v>202</v>
      </c>
      <c r="B248" s="83"/>
      <c r="C248" s="83"/>
      <c r="D248" s="83" t="s">
        <v>65</v>
      </c>
      <c r="E248" s="84" t="s">
        <v>48</v>
      </c>
      <c r="F248" s="84" t="s">
        <v>13</v>
      </c>
      <c r="G248" s="84"/>
      <c r="H248" s="84"/>
      <c r="I248" s="126">
        <f>I249</f>
        <v>0</v>
      </c>
      <c r="J248" s="127"/>
      <c r="K248" s="125">
        <f>K249</f>
        <v>0</v>
      </c>
      <c r="L248" s="136" t="e">
        <f t="shared" si="3"/>
        <v>#DIV/0!</v>
      </c>
    </row>
    <row r="249" spans="1:12" ht="12" hidden="1">
      <c r="A249" s="82" t="s">
        <v>203</v>
      </c>
      <c r="B249" s="83"/>
      <c r="C249" s="83"/>
      <c r="D249" s="83" t="s">
        <v>65</v>
      </c>
      <c r="E249" s="84" t="s">
        <v>48</v>
      </c>
      <c r="F249" s="84" t="s">
        <v>13</v>
      </c>
      <c r="G249" s="84" t="s">
        <v>205</v>
      </c>
      <c r="H249" s="84"/>
      <c r="I249" s="126">
        <f>I250</f>
        <v>0</v>
      </c>
      <c r="J249" s="127"/>
      <c r="K249" s="125">
        <f>K250</f>
        <v>0</v>
      </c>
      <c r="L249" s="136" t="e">
        <f t="shared" si="3"/>
        <v>#DIV/0!</v>
      </c>
    </row>
    <row r="250" spans="1:12" ht="12" hidden="1">
      <c r="A250" s="82" t="s">
        <v>204</v>
      </c>
      <c r="B250" s="83"/>
      <c r="C250" s="83"/>
      <c r="D250" s="83" t="s">
        <v>65</v>
      </c>
      <c r="E250" s="84" t="s">
        <v>48</v>
      </c>
      <c r="F250" s="84" t="s">
        <v>13</v>
      </c>
      <c r="G250" s="84" t="s">
        <v>205</v>
      </c>
      <c r="H250" s="84"/>
      <c r="I250" s="126">
        <f>I251</f>
        <v>0</v>
      </c>
      <c r="J250" s="127"/>
      <c r="K250" s="125">
        <f>K251</f>
        <v>0</v>
      </c>
      <c r="L250" s="136" t="e">
        <f t="shared" si="3"/>
        <v>#DIV/0!</v>
      </c>
    </row>
    <row r="251" spans="1:12" ht="24" hidden="1">
      <c r="A251" s="103" t="s">
        <v>227</v>
      </c>
      <c r="B251" s="83"/>
      <c r="C251" s="83"/>
      <c r="D251" s="83" t="s">
        <v>65</v>
      </c>
      <c r="E251" s="84" t="s">
        <v>48</v>
      </c>
      <c r="F251" s="84" t="s">
        <v>13</v>
      </c>
      <c r="G251" s="84" t="s">
        <v>205</v>
      </c>
      <c r="H251" s="84" t="s">
        <v>166</v>
      </c>
      <c r="I251" s="126">
        <f>I252</f>
        <v>0</v>
      </c>
      <c r="J251" s="127"/>
      <c r="K251" s="125">
        <f>K252</f>
        <v>0</v>
      </c>
      <c r="L251" s="136" t="e">
        <f t="shared" si="3"/>
        <v>#DIV/0!</v>
      </c>
    </row>
    <row r="252" spans="1:12" ht="24" hidden="1">
      <c r="A252" s="85" t="s">
        <v>108</v>
      </c>
      <c r="B252" s="83"/>
      <c r="C252" s="83"/>
      <c r="D252" s="83" t="s">
        <v>65</v>
      </c>
      <c r="E252" s="84" t="s">
        <v>48</v>
      </c>
      <c r="F252" s="84" t="s">
        <v>13</v>
      </c>
      <c r="G252" s="84" t="s">
        <v>205</v>
      </c>
      <c r="H252" s="84" t="s">
        <v>109</v>
      </c>
      <c r="I252" s="126">
        <v>0</v>
      </c>
      <c r="J252" s="127"/>
      <c r="K252" s="125">
        <v>0</v>
      </c>
      <c r="L252" s="136" t="e">
        <f t="shared" si="3"/>
        <v>#DIV/0!</v>
      </c>
    </row>
    <row r="253" spans="1:12" ht="12">
      <c r="A253" s="80" t="s">
        <v>73</v>
      </c>
      <c r="B253" s="83"/>
      <c r="C253" s="83"/>
      <c r="D253" s="81" t="s">
        <v>65</v>
      </c>
      <c r="E253" s="76" t="s">
        <v>70</v>
      </c>
      <c r="F253" s="76"/>
      <c r="G253" s="76"/>
      <c r="H253" s="76"/>
      <c r="I253" s="122">
        <f>I254</f>
        <v>350</v>
      </c>
      <c r="J253" s="127"/>
      <c r="K253" s="124">
        <f>K254</f>
        <v>131.214</v>
      </c>
      <c r="L253" s="136">
        <f t="shared" si="3"/>
        <v>37.489714285714285</v>
      </c>
    </row>
    <row r="254" spans="1:12" ht="12">
      <c r="A254" s="80" t="s">
        <v>72</v>
      </c>
      <c r="B254" s="83"/>
      <c r="C254" s="83"/>
      <c r="D254" s="81" t="s">
        <v>65</v>
      </c>
      <c r="E254" s="76" t="s">
        <v>70</v>
      </c>
      <c r="F254" s="76" t="s">
        <v>8</v>
      </c>
      <c r="G254" s="76"/>
      <c r="H254" s="76"/>
      <c r="I254" s="122">
        <f>I255</f>
        <v>350</v>
      </c>
      <c r="J254" s="127"/>
      <c r="K254" s="124">
        <f>K255</f>
        <v>131.214</v>
      </c>
      <c r="L254" s="136">
        <f t="shared" si="3"/>
        <v>37.489714285714285</v>
      </c>
    </row>
    <row r="255" spans="1:12" ht="12">
      <c r="A255" s="82" t="s">
        <v>206</v>
      </c>
      <c r="B255" s="83"/>
      <c r="C255" s="83"/>
      <c r="D255" s="83" t="s">
        <v>65</v>
      </c>
      <c r="E255" s="84" t="s">
        <v>70</v>
      </c>
      <c r="F255" s="84" t="s">
        <v>8</v>
      </c>
      <c r="G255" s="84" t="s">
        <v>207</v>
      </c>
      <c r="H255" s="84"/>
      <c r="I255" s="126">
        <f>I256</f>
        <v>350</v>
      </c>
      <c r="J255" s="127"/>
      <c r="K255" s="125">
        <f>K256</f>
        <v>131.214</v>
      </c>
      <c r="L255" s="136">
        <f t="shared" si="3"/>
        <v>37.489714285714285</v>
      </c>
    </row>
    <row r="256" spans="1:12" ht="12">
      <c r="A256" s="82" t="s">
        <v>94</v>
      </c>
      <c r="B256" s="83"/>
      <c r="C256" s="83"/>
      <c r="D256" s="83" t="s">
        <v>65</v>
      </c>
      <c r="E256" s="84" t="s">
        <v>70</v>
      </c>
      <c r="F256" s="84" t="s">
        <v>8</v>
      </c>
      <c r="G256" s="84" t="s">
        <v>208</v>
      </c>
      <c r="H256" s="84"/>
      <c r="I256" s="126">
        <f>I257</f>
        <v>350</v>
      </c>
      <c r="J256" s="127"/>
      <c r="K256" s="125">
        <f>K257</f>
        <v>131.214</v>
      </c>
      <c r="L256" s="136">
        <f t="shared" si="3"/>
        <v>37.489714285714285</v>
      </c>
    </row>
    <row r="257" spans="1:12" ht="24">
      <c r="A257" s="102" t="s">
        <v>227</v>
      </c>
      <c r="B257" s="83"/>
      <c r="C257" s="83"/>
      <c r="D257" s="83" t="s">
        <v>65</v>
      </c>
      <c r="E257" s="84" t="s">
        <v>70</v>
      </c>
      <c r="F257" s="84" t="s">
        <v>8</v>
      </c>
      <c r="G257" s="84" t="s">
        <v>208</v>
      </c>
      <c r="H257" s="84" t="s">
        <v>166</v>
      </c>
      <c r="I257" s="126">
        <f>I258</f>
        <v>350</v>
      </c>
      <c r="J257" s="127"/>
      <c r="K257" s="125">
        <f>K258</f>
        <v>131.214</v>
      </c>
      <c r="L257" s="136">
        <f t="shared" si="3"/>
        <v>37.489714285714285</v>
      </c>
    </row>
    <row r="258" spans="1:12" ht="24">
      <c r="A258" s="85" t="s">
        <v>108</v>
      </c>
      <c r="B258" s="83"/>
      <c r="C258" s="83"/>
      <c r="D258" s="83" t="s">
        <v>65</v>
      </c>
      <c r="E258" s="84" t="s">
        <v>70</v>
      </c>
      <c r="F258" s="84" t="s">
        <v>8</v>
      </c>
      <c r="G258" s="84" t="s">
        <v>208</v>
      </c>
      <c r="H258" s="84" t="s">
        <v>109</v>
      </c>
      <c r="I258" s="126">
        <f>240000/1000+60000/1000+50000/1000</f>
        <v>350</v>
      </c>
      <c r="J258" s="127"/>
      <c r="K258" s="125">
        <f>131214/1000</f>
        <v>131.214</v>
      </c>
      <c r="L258" s="136">
        <f t="shared" si="3"/>
        <v>37.489714285714285</v>
      </c>
    </row>
    <row r="259" spans="1:12" ht="12">
      <c r="A259" s="133" t="s">
        <v>96</v>
      </c>
      <c r="B259" s="128"/>
      <c r="C259" s="128"/>
      <c r="D259" s="128"/>
      <c r="E259" s="129"/>
      <c r="F259" s="121"/>
      <c r="G259" s="72"/>
      <c r="H259" s="121"/>
      <c r="I259" s="122">
        <f>I16+I95+I106+I126+I196+I233+I253+I85</f>
        <v>37325.64098999999</v>
      </c>
      <c r="J259" s="122">
        <f>J16+J95+J106+J126+J196+J233+J253+J85</f>
        <v>0</v>
      </c>
      <c r="K259" s="122">
        <f>K16+K95+K106+K126+K196+K233+K253+K85</f>
        <v>6449.585539999999</v>
      </c>
      <c r="L259" s="136">
        <f t="shared" si="3"/>
        <v>17.279235852179802</v>
      </c>
    </row>
    <row r="260" spans="1:10" ht="12">
      <c r="A260" s="120"/>
      <c r="B260" s="120"/>
      <c r="C260" s="120"/>
      <c r="D260" s="120"/>
      <c r="E260" s="130"/>
      <c r="F260" s="120"/>
      <c r="G260" s="131"/>
      <c r="H260" s="120"/>
      <c r="I260" s="132"/>
      <c r="J260" s="120"/>
    </row>
    <row r="261" spans="1:10" ht="12">
      <c r="A261" s="120"/>
      <c r="B261" s="120"/>
      <c r="C261" s="120"/>
      <c r="D261" s="120"/>
      <c r="E261" s="130"/>
      <c r="F261" s="120"/>
      <c r="G261" s="131"/>
      <c r="H261" s="120"/>
      <c r="I261" s="132"/>
      <c r="J261" s="120"/>
    </row>
    <row r="262" spans="1:10" ht="12">
      <c r="A262" s="120"/>
      <c r="B262" s="120"/>
      <c r="C262" s="120"/>
      <c r="D262" s="120"/>
      <c r="E262" s="130"/>
      <c r="F262" s="120"/>
      <c r="G262" s="131"/>
      <c r="H262" s="120"/>
      <c r="I262" s="132"/>
      <c r="J262" s="120"/>
    </row>
    <row r="263" spans="1:10" ht="12">
      <c r="A263" s="120"/>
      <c r="B263" s="120"/>
      <c r="C263" s="120"/>
      <c r="D263" s="120"/>
      <c r="E263" s="130"/>
      <c r="F263" s="120"/>
      <c r="G263" s="131"/>
      <c r="H263" s="120"/>
      <c r="I263" s="132"/>
      <c r="J263" s="120"/>
    </row>
    <row r="264" spans="1:10" ht="12">
      <c r="A264" s="120"/>
      <c r="B264" s="120"/>
      <c r="C264" s="120"/>
      <c r="D264" s="120"/>
      <c r="E264" s="130"/>
      <c r="F264" s="120"/>
      <c r="G264" s="131"/>
      <c r="H264" s="120"/>
      <c r="I264" s="132"/>
      <c r="J264" s="120"/>
    </row>
    <row r="265" spans="1:10" ht="12">
      <c r="A265" s="120"/>
      <c r="B265" s="120"/>
      <c r="C265" s="120"/>
      <c r="D265" s="120"/>
      <c r="E265" s="130"/>
      <c r="F265" s="120"/>
      <c r="G265" s="131"/>
      <c r="H265" s="120"/>
      <c r="I265" s="132"/>
      <c r="J265" s="120"/>
    </row>
    <row r="266" spans="1:10" ht="12">
      <c r="A266" s="120"/>
      <c r="B266" s="120"/>
      <c r="C266" s="120"/>
      <c r="D266" s="120"/>
      <c r="E266" s="130"/>
      <c r="F266" s="120"/>
      <c r="G266" s="131"/>
      <c r="H266" s="120"/>
      <c r="I266" s="132"/>
      <c r="J266" s="120"/>
    </row>
    <row r="267" spans="1:10" ht="12">
      <c r="A267" s="120"/>
      <c r="B267" s="120"/>
      <c r="C267" s="120"/>
      <c r="D267" s="120"/>
      <c r="E267" s="130"/>
      <c r="F267" s="120"/>
      <c r="G267" s="131"/>
      <c r="H267" s="120"/>
      <c r="I267" s="132"/>
      <c r="J267" s="120"/>
    </row>
    <row r="268" spans="1:10" ht="12">
      <c r="A268" s="120"/>
      <c r="B268" s="120"/>
      <c r="C268" s="120"/>
      <c r="D268" s="120"/>
      <c r="E268" s="130"/>
      <c r="F268" s="120"/>
      <c r="G268" s="131"/>
      <c r="H268" s="120"/>
      <c r="I268" s="132"/>
      <c r="J268" s="120"/>
    </row>
    <row r="269" spans="1:10" ht="12">
      <c r="A269" s="120"/>
      <c r="B269" s="120"/>
      <c r="C269" s="120"/>
      <c r="D269" s="120"/>
      <c r="E269" s="130"/>
      <c r="F269" s="120"/>
      <c r="G269" s="131"/>
      <c r="H269" s="120"/>
      <c r="I269" s="132"/>
      <c r="J269" s="120"/>
    </row>
    <row r="270" spans="1:10" ht="12">
      <c r="A270" s="120"/>
      <c r="B270" s="120"/>
      <c r="C270" s="120"/>
      <c r="D270" s="120"/>
      <c r="E270" s="130"/>
      <c r="F270" s="120"/>
      <c r="G270" s="131"/>
      <c r="H270" s="120"/>
      <c r="I270" s="132"/>
      <c r="J270" s="120"/>
    </row>
    <row r="271" spans="1:10" ht="12">
      <c r="A271" s="120"/>
      <c r="B271" s="120"/>
      <c r="C271" s="120"/>
      <c r="D271" s="120"/>
      <c r="E271" s="130"/>
      <c r="F271" s="120"/>
      <c r="G271" s="131"/>
      <c r="H271" s="120"/>
      <c r="I271" s="132"/>
      <c r="J271" s="120"/>
    </row>
    <row r="272" spans="1:10" ht="12">
      <c r="A272" s="120"/>
      <c r="B272" s="120"/>
      <c r="C272" s="120"/>
      <c r="D272" s="120"/>
      <c r="E272" s="130"/>
      <c r="F272" s="120"/>
      <c r="G272" s="131"/>
      <c r="H272" s="120"/>
      <c r="I272" s="132"/>
      <c r="J272" s="120"/>
    </row>
    <row r="273" spans="1:10" ht="12">
      <c r="A273" s="120"/>
      <c r="B273" s="120"/>
      <c r="C273" s="120"/>
      <c r="D273" s="120"/>
      <c r="E273" s="130"/>
      <c r="F273" s="120"/>
      <c r="G273" s="131"/>
      <c r="H273" s="120"/>
      <c r="I273" s="132"/>
      <c r="J273" s="120"/>
    </row>
    <row r="274" spans="1:10" ht="12">
      <c r="A274" s="120"/>
      <c r="B274" s="120"/>
      <c r="C274" s="120"/>
      <c r="D274" s="120"/>
      <c r="E274" s="130"/>
      <c r="F274" s="120"/>
      <c r="G274" s="131"/>
      <c r="H274" s="120"/>
      <c r="I274" s="132"/>
      <c r="J274" s="120"/>
    </row>
    <row r="275" spans="1:10" ht="12">
      <c r="A275" s="120"/>
      <c r="B275" s="120"/>
      <c r="C275" s="120"/>
      <c r="D275" s="120"/>
      <c r="E275" s="130"/>
      <c r="F275" s="120"/>
      <c r="G275" s="131"/>
      <c r="H275" s="120"/>
      <c r="I275" s="132"/>
      <c r="J275" s="120"/>
    </row>
    <row r="276" spans="1:10" ht="12">
      <c r="A276" s="120"/>
      <c r="B276" s="120"/>
      <c r="C276" s="120"/>
      <c r="D276" s="120"/>
      <c r="E276" s="130"/>
      <c r="F276" s="120"/>
      <c r="G276" s="131"/>
      <c r="H276" s="120"/>
      <c r="I276" s="132"/>
      <c r="J276" s="120"/>
    </row>
    <row r="277" spans="1:10" ht="12">
      <c r="A277" s="120"/>
      <c r="B277" s="120"/>
      <c r="C277" s="120"/>
      <c r="D277" s="120"/>
      <c r="E277" s="130"/>
      <c r="F277" s="120"/>
      <c r="G277" s="131"/>
      <c r="H277" s="120"/>
      <c r="I277" s="132"/>
      <c r="J277" s="120"/>
    </row>
    <row r="278" spans="1:10" ht="12">
      <c r="A278" s="120"/>
      <c r="B278" s="120"/>
      <c r="C278" s="120"/>
      <c r="D278" s="120"/>
      <c r="E278" s="130"/>
      <c r="F278" s="120"/>
      <c r="G278" s="131"/>
      <c r="H278" s="120"/>
      <c r="I278" s="132"/>
      <c r="J278" s="120"/>
    </row>
    <row r="279" spans="1:10" ht="12">
      <c r="A279" s="120"/>
      <c r="B279" s="120"/>
      <c r="C279" s="120"/>
      <c r="D279" s="120"/>
      <c r="E279" s="130"/>
      <c r="F279" s="120"/>
      <c r="G279" s="131"/>
      <c r="H279" s="120"/>
      <c r="I279" s="132"/>
      <c r="J279" s="120"/>
    </row>
    <row r="280" spans="1:10" ht="12">
      <c r="A280" s="120"/>
      <c r="B280" s="120"/>
      <c r="C280" s="120"/>
      <c r="D280" s="120"/>
      <c r="E280" s="130"/>
      <c r="F280" s="120"/>
      <c r="G280" s="131"/>
      <c r="H280" s="120"/>
      <c r="I280" s="132"/>
      <c r="J280" s="120"/>
    </row>
    <row r="281" spans="1:10" ht="12">
      <c r="A281" s="120"/>
      <c r="B281" s="120"/>
      <c r="C281" s="120"/>
      <c r="D281" s="120"/>
      <c r="E281" s="130"/>
      <c r="F281" s="120"/>
      <c r="G281" s="131"/>
      <c r="H281" s="120"/>
      <c r="I281" s="132"/>
      <c r="J281" s="120"/>
    </row>
  </sheetData>
  <sheetProtection/>
  <mergeCells count="20"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F1:I1"/>
    <mergeCell ref="F2:I2"/>
    <mergeCell ref="F3:I3"/>
    <mergeCell ref="F4:I4"/>
    <mergeCell ref="A6:I6"/>
  </mergeCells>
  <printOptions/>
  <pageMargins left="0.9055118110236221" right="0" top="0.3937007874015748" bottom="0.5118110236220472" header="0.3937007874015748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Секретарь</cp:lastModifiedBy>
  <cp:lastPrinted>2020-05-14T07:46:18Z</cp:lastPrinted>
  <dcterms:created xsi:type="dcterms:W3CDTF">2005-11-24T20:09:25Z</dcterms:created>
  <dcterms:modified xsi:type="dcterms:W3CDTF">2020-05-14T07:47:16Z</dcterms:modified>
  <cp:category/>
  <cp:version/>
  <cp:contentType/>
  <cp:contentStatus/>
</cp:coreProperties>
</file>