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tabRatio="595" activeTab="0"/>
  </bookViews>
  <sheets>
    <sheet name="прил 5" sheetId="1" r:id="rId1"/>
    <sheet name="прил 6" sheetId="2" r:id="rId2"/>
  </sheets>
  <definedNames>
    <definedName name="_xlnm.Print_Area" localSheetId="0">'прил 5'!$A$1:$D$65</definedName>
  </definedNames>
  <calcPr fullCalcOnLoad="1"/>
</workbook>
</file>

<file path=xl/sharedStrings.xml><?xml version="1.0" encoding="utf-8"?>
<sst xmlns="http://schemas.openxmlformats.org/spreadsheetml/2006/main" count="1666" uniqueCount="316">
  <si>
    <t>по разделам, подразделам функциональной классификации</t>
  </si>
  <si>
    <t>расходов бюджетов Российской Федерации</t>
  </si>
  <si>
    <t>Сумма, тыс.рублей</t>
  </si>
  <si>
    <t>Наименование</t>
  </si>
  <si>
    <t>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</si>
  <si>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</si>
  <si>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</si>
  <si>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</si>
  <si>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</si>
  <si>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</si>
  <si>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</si>
  <si>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</si>
  <si>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надзора</t>
  </si>
  <si>
    <t>06</t>
  </si>
  <si>
    <t>Обеспечение проведения выборов и референдумов</t>
  </si>
  <si>
    <t>07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</si>
  <si>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</si>
  <si>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</si>
  <si>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</si>
  <si>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</si>
  <si>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</si>
  <si>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</si>
  <si>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</si>
  <si>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</si>
  <si>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</si>
  <si>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</si>
  <si>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</si>
  <si>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</si>
  <si>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</si>
  <si>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</si>
  <si>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</si>
  <si>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</si>
  <si>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</si>
  <si>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 xml:space="preserve">Культура </t>
  </si>
  <si>
    <t>Другие вопросы в области культуры, кинематографии и средств массовой информации</t>
  </si>
  <si>
    <t>Спорт и физическая культура</t>
  </si>
  <si>
    <t xml:space="preserve">Социальная политика </t>
  </si>
  <si>
    <t>Пенсионное обеспечение</t>
  </si>
  <si>
    <t>Социальное обеспечение населения</t>
  </si>
  <si>
    <t>Меры социальной поддержки граждан</t>
  </si>
  <si>
    <t>Межбюджетные трансферты</t>
  </si>
  <si>
    <t>Финансовая помощь бюджетам других уровней</t>
  </si>
  <si>
    <t>В С Е Г О</t>
  </si>
  <si>
    <t>Целевая статья</t>
  </si>
  <si>
    <t>Проведение выборов и референдумов</t>
  </si>
  <si>
    <t>12</t>
  </si>
  <si>
    <t>Глава</t>
  </si>
  <si>
    <t>Жилищное хозяйство</t>
  </si>
  <si>
    <t>10</t>
  </si>
  <si>
    <t>Культура, кинематография и средства массовой информации</t>
  </si>
  <si>
    <t>Глава муниципального образования</t>
  </si>
  <si>
    <t>Расходы на осуществление государственных полномочий по созданию и функционированию административных комиссий</t>
  </si>
  <si>
    <t>Национальная оборона</t>
  </si>
  <si>
    <t>Мобилизационная и вневойсковая подготовка</t>
  </si>
  <si>
    <t>Благоустройство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</si>
  <si>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</si>
  <si>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</si>
  <si>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Проведение выборов главы муниципального образования</t>
  </si>
  <si>
    <t>Обеспечение пожарной безопасности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</si>
  <si>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</si>
  <si>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Федерации, муниципальных служащих</t>
  </si>
  <si>
    <t xml:space="preserve">Национальная экономика  </t>
  </si>
  <si>
    <t>к Решению муниципального Совета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</si>
  <si>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</si>
  <si>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</si>
  <si>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819</t>
  </si>
  <si>
    <t>Подраздел</t>
  </si>
  <si>
    <t>Мероприятия по землеустройству и землепользованию</t>
  </si>
  <si>
    <t>Мероприятия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</si>
  <si>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</si>
  <si>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11</t>
  </si>
  <si>
    <t>13</t>
  </si>
  <si>
    <t>Массовый спорт</t>
  </si>
  <si>
    <t>Физическая культура и спорт</t>
  </si>
  <si>
    <t>Субсидии на компенсацию участникам программы уплаченных процентов по целевым кредитам, не превышающих ставку рефинансирования, установленную ЦБ РФ</t>
  </si>
  <si>
    <t>Дорожное хозяйство (дорожные фонды)</t>
  </si>
  <si>
    <t>глава</t>
  </si>
  <si>
    <t>Раз-дел</t>
  </si>
  <si>
    <t>Под-раз-дел</t>
  </si>
  <si>
    <t>Вид рас-ходов</t>
  </si>
  <si>
    <t>768</t>
  </si>
  <si>
    <t>Функционирование высшего должностного лица субъекта Российской Федерации и муниципального образования</t>
  </si>
  <si>
    <t>Расходы на содержание органов местного самоуправления и обеспечение их функций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</si>
  <si>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</si>
  <si>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содержание  органов местного самоуправления и обеспечение их функций</t>
  </si>
  <si>
    <t>Обеспечение деятельности органов местного самоуправления</t>
  </si>
  <si>
    <t>Иные бюджетные ассигнования</t>
  </si>
  <si>
    <t>800</t>
  </si>
  <si>
    <t>Осуществление первичного воинского учета</t>
  </si>
  <si>
    <t>Расходы в области национальной безопасности и правоохранительной деятельности</t>
  </si>
  <si>
    <t>Мероприятия в сфере обеспечения пожарной безопасности, осуществляемые органами местного самоуправления</t>
  </si>
  <si>
    <t>Расходы в области жилищно-коммунального хозяйства</t>
  </si>
  <si>
    <t>Мероприятия  в области жилищного хозяйства</t>
  </si>
  <si>
    <t>Мероприятия  в области коммунального хозяйства</t>
  </si>
  <si>
    <t>Мероприятия в области физической культуры и спорта</t>
  </si>
  <si>
    <t>Культура</t>
  </si>
  <si>
    <t>ВСЕГО</t>
  </si>
  <si>
    <t xml:space="preserve">к Решению муниципального Совета </t>
  </si>
  <si>
    <t>Администрация МО "Савинское"</t>
  </si>
  <si>
    <t>121</t>
  </si>
  <si>
    <t>120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</si>
  <si>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</si>
  <si>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</si>
  <si>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представительного органа муниципального образования</t>
  </si>
  <si>
    <t>Обеспечение функционирования главы муниципального образования</t>
  </si>
  <si>
    <t>123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</si>
  <si>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</si>
  <si>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</si>
  <si>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</si>
  <si>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</si>
  <si>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</si>
  <si>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</si>
  <si>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налогов, сборов и иных платежей</t>
  </si>
  <si>
    <t>850</t>
  </si>
  <si>
    <t>56 0 0000</t>
  </si>
  <si>
    <t>56 1 0000</t>
  </si>
  <si>
    <t>Специальные расходы</t>
  </si>
  <si>
    <t>880</t>
  </si>
  <si>
    <t>Резервные средства</t>
  </si>
  <si>
    <t>870</t>
  </si>
  <si>
    <t>Депутаты представительного органа муниципального образования</t>
  </si>
  <si>
    <t>Расходы в области национальной экономики</t>
  </si>
  <si>
    <t>Расходы в области коммунального хозяйства</t>
  </si>
  <si>
    <t>Мероприятия  в области уличного освещения</t>
  </si>
  <si>
    <t>Мероприятия в области организации и содержании мест захоронений</t>
  </si>
  <si>
    <t>Расходы в области благоустройства территорий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</si>
  <si>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</si>
  <si>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</si>
  <si>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611</t>
  </si>
  <si>
    <t>Социальная политика</t>
  </si>
  <si>
    <t>Долгосрочная целевая программа Архангельской области"Активизация индивидуального жилищного строительства в Архангельской области"на 2009-2014годы</t>
  </si>
  <si>
    <t>Иные выплаты населению</t>
  </si>
  <si>
    <t>360</t>
  </si>
  <si>
    <t>300</t>
  </si>
  <si>
    <t xml:space="preserve">Социальное обеспечение и иные выплаты населению
</t>
  </si>
  <si>
    <t xml:space="preserve"> "Градостроительное развитие Архангельской области на 2014 год"</t>
  </si>
  <si>
    <t>56 1 9002</t>
  </si>
  <si>
    <t>67 0 0000</t>
  </si>
  <si>
    <t>67 1 9001</t>
  </si>
  <si>
    <t>66 0 0000</t>
  </si>
  <si>
    <t>66 1 9001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</si>
  <si>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</si>
  <si>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Осуществление государственных полномочий в сфере административных правонарушений</t>
  </si>
  <si>
    <t>Охрана семьи и детства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</si>
  <si>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</si>
  <si>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400</t>
  </si>
  <si>
    <t>412</t>
  </si>
  <si>
    <t>67 1 9000</t>
  </si>
  <si>
    <t>Бюджетные инвестиции</t>
  </si>
  <si>
    <t>Обеспечение жилыми помещениями</t>
  </si>
  <si>
    <t>Частичное возмещение расходов по предоставлению мер социальной поддержки квалифицированных специалистовучреждений,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</si>
  <si>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Субсидии бюджетным учреждениям на иные цели</t>
  </si>
  <si>
    <t>612</t>
  </si>
  <si>
    <t>Приложение №5</t>
  </si>
  <si>
    <t>Расходы на выплату персоналу государственных(муниципальных) оранов</t>
  </si>
  <si>
    <t>51 0 00 00000</t>
  </si>
  <si>
    <t>51 1 00 00000</t>
  </si>
  <si>
    <t>51 1 00 90010</t>
  </si>
  <si>
    <t>52 0 00 00000</t>
  </si>
  <si>
    <t>52 1 00 00000</t>
  </si>
  <si>
    <t>52 1 00 90010</t>
  </si>
  <si>
    <t xml:space="preserve">Муниципальная программа "Энергосбережение и повышение энергетической эффективности муниципального образования "Савинское" на 2016-2018 годы" </t>
  </si>
  <si>
    <t xml:space="preserve"> Закупка товаров, работ и услуг для обеспечения государственных(муниципальных) нужд</t>
  </si>
  <si>
    <t>Иные закупки товаров, работ и услуг для обеспечения государственных(муниципальных) нужд</t>
  </si>
  <si>
    <t>02 0 00 00000</t>
  </si>
  <si>
    <t>02 0 00 90011</t>
  </si>
  <si>
    <t>200</t>
  </si>
  <si>
    <t>02 0 00 90012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</si>
  <si>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</si>
  <si>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Перечисления другим бюджетам бюджетной системы Российской Федерации</t>
  </si>
  <si>
    <t>55 1 00 90010</t>
  </si>
  <si>
    <t>54 1 00 90010</t>
  </si>
  <si>
    <t>500</t>
  </si>
  <si>
    <t>56 1 00 90010</t>
  </si>
  <si>
    <t>Резервные фонды местных администраций</t>
  </si>
  <si>
    <t>57 1 00 90010</t>
  </si>
  <si>
    <t>Реализация мероприятий по энергосбережению и повышению энергетической эффективности МО "Савинское" (теплоэнергия)</t>
  </si>
  <si>
    <t>Реализация мероприятий по энергосбережению и повышению энергетической эффективности МО "Савинское" (электроснабжение)</t>
  </si>
  <si>
    <t>58 1 00 90010</t>
  </si>
  <si>
    <t>Расходы на обеспечение деятельности исполнительных органов местного самоуправления</t>
  </si>
  <si>
    <t>61 1 00 00000</t>
  </si>
  <si>
    <t>61 1 00 90010</t>
  </si>
  <si>
    <t>Расходы в области обеспечения пожарной безопасности, осуществляемые органами местного самоуправления</t>
  </si>
  <si>
    <t>62 1 00 00000</t>
  </si>
  <si>
    <t>62 1 00 90010</t>
  </si>
  <si>
    <t>Закупка товаров, работ и услуг для обеспечения государственных (муниципальных) нужд</t>
  </si>
  <si>
    <t>01 0 00 00000</t>
  </si>
  <si>
    <t>01 0 00 90011</t>
  </si>
  <si>
    <t xml:space="preserve"> 02 0 00 00000</t>
  </si>
  <si>
    <t xml:space="preserve"> 02 0 00 90012</t>
  </si>
  <si>
    <t>63 1 00 90010</t>
  </si>
  <si>
    <t>Закупка товаров, работ, услуг в целях капитального ремонта государственного (муниципального) имущества</t>
  </si>
  <si>
    <t>243</t>
  </si>
  <si>
    <t>64 0 00 00000</t>
  </si>
  <si>
    <t>64 1 00 90010</t>
  </si>
  <si>
    <t>65 1 00 00000</t>
  </si>
  <si>
    <t>65 1 00 90011</t>
  </si>
  <si>
    <t>65 1 00 90012</t>
  </si>
  <si>
    <t>Мероприятия в области благоустройства территорий</t>
  </si>
  <si>
    <t>65 1 00 90013</t>
  </si>
  <si>
    <t>67 1 00 00000</t>
  </si>
  <si>
    <t>67 1 00 90010</t>
  </si>
  <si>
    <t>Другие вопросы в области социальной политики</t>
  </si>
  <si>
    <t>Расходы в области социальной политики</t>
  </si>
  <si>
    <t>Мероприятия в области социальной политики</t>
  </si>
  <si>
    <t>68 1 00 90010</t>
  </si>
  <si>
    <t>Расходы в области физкультуры и спорта</t>
  </si>
  <si>
    <t>69 1 00 00000</t>
  </si>
  <si>
    <t>69 1 00 90010</t>
  </si>
  <si>
    <t>Предоставление субсидий бюджетным, автономным учреждениям и иным некомерческим организациями</t>
  </si>
  <si>
    <t>Наименование показателя</t>
  </si>
  <si>
    <t>53 1 00 90010</t>
  </si>
  <si>
    <t>66 1 00 90011</t>
  </si>
  <si>
    <t>830</t>
  </si>
  <si>
    <t>Исполнение судебных актов</t>
  </si>
  <si>
    <t>60 1 00 00000</t>
  </si>
  <si>
    <t>60 1 00 90010</t>
  </si>
  <si>
    <t>54 1 00 78680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</si>
  <si>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</si>
  <si>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01 0 00 78120</t>
  </si>
  <si>
    <t>Капитальные вложения в объекты государственной (муниципальной) собственности</t>
  </si>
  <si>
    <t>312</t>
  </si>
  <si>
    <t>Иные пенсии, социальные доплаты к пенсиям</t>
  </si>
  <si>
    <t>59 1 00 51180</t>
  </si>
  <si>
    <t>59 0 00 00000</t>
  </si>
  <si>
    <t>540</t>
  </si>
  <si>
    <t>Иные межбюджетные трансферты</t>
  </si>
  <si>
    <t>Закупка товаров, работ и услуг для обеспечения государственных(муниципальных) нужд</t>
  </si>
  <si>
    <t>Прочая закупка товаров, работ и услуг для обеспечения го сударственных (муниципальных) нужд</t>
  </si>
  <si>
    <t>Расходы на выплату персоналу государственных(муниципальных) органов</t>
  </si>
  <si>
    <t>Прочие выплаты по обязательствам муниципального образования</t>
  </si>
  <si>
    <t>70 1 00 90010</t>
  </si>
  <si>
    <t>70 1  0090010</t>
  </si>
  <si>
    <t>321</t>
  </si>
  <si>
    <t>320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</si>
  <si>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</si>
  <si>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</si>
  <si>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70 1 00 88230</t>
  </si>
  <si>
    <t>Мероприятия по капитальному ремонту, ремонту и  содержанию автомобильных дорог, расположенных на территории МО "Савинское"</t>
  </si>
  <si>
    <t>01 0 00 90012</t>
  </si>
  <si>
    <t>110</t>
  </si>
  <si>
    <t>Расходы на выплату персоналу казенных учреждений</t>
  </si>
  <si>
    <t>63 1 00 90000</t>
  </si>
  <si>
    <t>Расходы  в области жилищного хозяйства</t>
  </si>
  <si>
    <t>03 0 00 90010</t>
  </si>
  <si>
    <t>04 0 00 90010</t>
  </si>
  <si>
    <t>Непрограммные мероприятия в области благоустройства</t>
  </si>
  <si>
    <t>Муниципальная программа МО "Савинское" "Развитие культуры муниципального образования "Савинское" на 2018-2020 годы"</t>
  </si>
  <si>
    <t>05 0 00 00000</t>
  </si>
  <si>
    <t>05 0 00 90011</t>
  </si>
  <si>
    <t>Софинансирование в рамках муниципальной программы МО "Савинское" "Развитие культуры муниципального образования "Савинское" на 2018-2020 годы"</t>
  </si>
  <si>
    <t>05 0 00 90012</t>
  </si>
  <si>
    <t>04 0 00 00000</t>
  </si>
  <si>
    <t>Муниципальная программа МО "Савинское" "Повышение эффективности использования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</si>
  <si>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"Повышение эффективности использованимя и охраны земель на территории муниципального образования "Савинское" на 2017-2019 годы"</t>
  </si>
  <si>
    <t>Реализация мероприятий по муниципальной программе МО "Савинское" "Развитие культуры муниципального образования "Савинское" на 2018-2020 годы"</t>
  </si>
  <si>
    <t>54 1 0078230</t>
  </si>
  <si>
    <t>05 0 00 S8310</t>
  </si>
  <si>
    <t>05 0 00 78240</t>
  </si>
  <si>
    <t>54 1 00 78230</t>
  </si>
  <si>
    <t>Софинансирование вопросов местного значения</t>
  </si>
  <si>
    <t>Повышение средней заработной платы работников муниципальных учреждений культуры в целях реализации Указа Президента РФ от 07 мая 2012 года №597 "О мероприятиях по рекализации государственной социальной политики"</t>
  </si>
  <si>
    <t>05 0 00 78230</t>
  </si>
  <si>
    <t>05 0 00 L4670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</si>
  <si>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50 тысяч человек в рамках муниципальной программы МО «Савинское» «Развитие культуры муниципального образования «Савинское» на 2018-2020 годы».</t>
  </si>
  <si>
    <t>831</t>
  </si>
  <si>
    <t>Перечисление другим бюджетам бюджетной системы Российской Федерации</t>
  </si>
  <si>
    <t>71 1 00 00000</t>
  </si>
  <si>
    <t xml:space="preserve">71 1 00 S3670 </t>
  </si>
  <si>
    <t>Софинансирование части дополнительных расходов на повышение минимального размера оплаты труда</t>
  </si>
  <si>
    <t>72 1 00 L4670</t>
  </si>
  <si>
    <t>54 1 00 S8080</t>
  </si>
  <si>
    <t>05 0 00 90010</t>
  </si>
  <si>
    <t>Приложение № 6</t>
  </si>
  <si>
    <t>03 0 F2 55550</t>
  </si>
  <si>
    <t>03 0 00 00000</t>
  </si>
  <si>
    <t>Муниципальная программа МО "Савинское" "Энергосбережение и повышение энергетической эффективности муниципального образования "Савинское" на 2019-2021 годы"</t>
  </si>
  <si>
    <t>% исполнения</t>
  </si>
  <si>
    <t>Распределение расходов бюджета МО "Савинское" на 2020 год</t>
  </si>
  <si>
    <t>ВЕДОМСТВЕННАЯ СТРУКТУРА РАСХОДОВ БЮДЖЕТА                                                                                                        МУНИЦИПАЛЬНОГО ОБРАЗОВАНИЯ "САВИНСКОЕ" НА 2020 ГОД</t>
  </si>
  <si>
    <t>Муниципальная программа МО "Савинское" "Развитие дорожной сети муниципального образования "Савинское" на 2019-2021 годы"</t>
  </si>
  <si>
    <t>Муниципальная программа МО "Савинское" "Повышение безопасности дорожного движения муниципального образования "Савинское" на 2019-2021 годы"</t>
  </si>
  <si>
    <t>Реализация  муниципальной программы "Охрана окружающей среды и обеспечение экологической безопасности населения муниципального образования "Савинское" на 2019-2021 годы"</t>
  </si>
  <si>
    <t>07 0 00 00000</t>
  </si>
  <si>
    <t>07 0 00 S6740</t>
  </si>
  <si>
    <t>Мероприятия в сфере обращения с отходами производства и потребления, в том числе с твердыми коммунальными отходами (содержание мест (площадок) накопления твердых коммунальных отходов)</t>
  </si>
  <si>
    <t>07 0 00 S6650</t>
  </si>
  <si>
    <t>Иные межбюджетные трансферты на исполнение полномочий по софинансированию мероприятий в сфере обращения с отходами производства и потребления, в том числе с твердыми коммунальными отходами (содержание мест (площадок) накопления твердых коммунальных отходов)</t>
  </si>
  <si>
    <t>Реализация  мероприятий по муниципальной программе МО "Савинское" "Формирование современной городской среды муниципального образования "Савинское" на 2018-2024 годы"(софинансирование на мероприятия)</t>
  </si>
  <si>
    <t>Реализация  мероприятий по муниципальной программе МО "Савинское" "Формирование современной городской среды муниципального образования "Савинское" на 2018-2022 годы"(областной бюджет)</t>
  </si>
  <si>
    <t>03 0 00 S3670</t>
  </si>
  <si>
    <t xml:space="preserve">71 1 00 L5550 </t>
  </si>
  <si>
    <t>Сумма тыс. руб.</t>
  </si>
  <si>
    <t>Исполненно, тыс.руб</t>
  </si>
  <si>
    <t>Расходы на поддержку территориального общественного самоуправления</t>
  </si>
  <si>
    <t>58 1 00 S8420</t>
  </si>
  <si>
    <t>Мероприятия в сфере обращения с отходами производства и потребления, в том числе с твердыми коммунальными отходами (создание мест (площадок) накопления (в том числе раздельного накопления)твердых коммунальных отходов)</t>
  </si>
  <si>
    <t>Иные межбюджетные трансферты на исполнение полномочий по софинансированию мероприятий в сфере обращения с отходами производства и потребления, в том числе с твердыми коммунальными отходами (создание мест (площадок) накопления)</t>
  </si>
  <si>
    <t>Мероприятия в сфере обращения с отходами производства и потребления, в том числе с твердыми коммунальными отходами (приобретение контейнеров (бункеров) для накопления твердых коммунальных отходов)</t>
  </si>
  <si>
    <t>Иные межбюджетные трансферты на исполнение полномочий по софинансированию мероприятий в сфере обращения с отходами производства и потребления, в том числе с твердыми коммунальными отходами(приобретение контейнеров (бункеров))</t>
  </si>
  <si>
    <t>Расходы на реализацию  муниципальной программы "Охрана окружающей среды и обеспечение экологической безопасности населения муниципального образования "Савинское" на 2019-2021 годы"</t>
  </si>
  <si>
    <t>Мероприятия  в области реализации муниципальной программы</t>
  </si>
  <si>
    <t>07 0 00 90000</t>
  </si>
  <si>
    <t>07 0 00 90010</t>
  </si>
  <si>
    <t>Мероприятия по благоустройству территории и приобретение уборочной и коммунальной техники</t>
  </si>
  <si>
    <t>65 1 00 78840</t>
  </si>
  <si>
    <t>Мероприятия по текущему ремонту фасада здания учреждения МКУК СКЦ "Мир"</t>
  </si>
  <si>
    <t>05 0 00 71400</t>
  </si>
  <si>
    <t>Мододежная политика</t>
  </si>
  <si>
    <t xml:space="preserve">Муниципальная программа «Патриотическое воспитание, развитие физической культуры, спорта, туризма и повышение эффективности реализации молодежной политики в
муниципальном образовании «Савинское» на 2019-2021 годы»
</t>
  </si>
  <si>
    <t>06 0 00 00000</t>
  </si>
  <si>
    <t xml:space="preserve">07 </t>
  </si>
  <si>
    <t>06 1 00 S8530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</si>
  <si>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</si>
  <si>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</si>
  <si>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МО"Савинское"от 10.12.2020 № 265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</si>
</sst>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_р_._-;\-* #,##0.00_р_._-;_-* &quot;-&quot;?_р_._-;_-@_-"/>
    <numFmt numFmtId="178" formatCode="#,##0.00000_ ;\-#,##0.00000\ 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#,##0.0000_ ;\-#,##0.0000\ "/>
    <numFmt numFmtId="183" formatCode="#,##0.000_ ;\-#,##0.000\ "/>
    <numFmt numFmtId="184" formatCode="0.00000"/>
    <numFmt numFmtId="185" formatCode="_-* #,##0.000_р_._-;\-* #,##0.000_р_._-;_-* &quot;-&quot;?_р_._-;_-@_-"/>
    <numFmt numFmtId="186" formatCode="_-* #,##0.0000_р_._-;\-* #,##0.0000_р_._-;_-* &quot;-&quot;?_р_._-;_-@_-"/>
    <numFmt numFmtId="187" formatCode="_-* #,##0.00000_р_._-;\-* #,##0.00000_р_._-;_-* &quot;-&quot;?_р_._-;_-@_-"/>
    <numFmt numFmtId="188" formatCode="_-* #,##0.000_р_._-;\-* #,##0.000_р_._-;_-* &quot;-&quot;???_р_._-;_-@_-"/>
    <numFmt numFmtId="189" formatCode="_-* #,##0.00000_р_._-;\-* #,##0.00000_р_._-;_-* &quot;-&quot;?????_р_._-;_-@_-"/>
    <numFmt numFmtId="190" formatCode="0.0000"/>
    <numFmt numFmtId="191" formatCode="0.000"/>
    <numFmt numFmtId="192" formatCode="_-* #,##0.000000_р_._-;\-* #,##0.000000_р_._-;_-* &quot;-&quot;??_р_._-;_-@_-"/>
    <numFmt numFmtId="193" formatCode="#,##0.00_ ;\-#,##0.00\ "/>
    <numFmt numFmtId="194" formatCode="#,##0.0_ ;\-#,##0.0\ "/>
    <numFmt numFmtId="195" formatCode="#,##0_ ;\-#,##0\ 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_-* #,##0.0\ _₽_-;\-* #,##0.0\ _₽_-;_-* &quot;-&quot;?\ _₽_-;_-@_-"/>
    <numFmt numFmtId="209" formatCode="_-* #,##0.0000000_р_._-;\-* #,##0.0000000_р_._-;_-* &quot;-&quot;??_р_._-;_-@_-"/>
    <numFmt numFmtId="210" formatCode="_-* #,##0.00000000_р_._-;\-* #,##0.00000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A0A0A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1" xfId="60" applyNumberFormat="1" applyFont="1" applyBorder="1" applyAlignment="1">
      <alignment horizontal="center"/>
    </xf>
    <xf numFmtId="0" fontId="5" fillId="0" borderId="10" xfId="0" applyFont="1" applyBorder="1" applyAlignment="1">
      <alignment horizontal="justify" wrapText="1"/>
    </xf>
    <xf numFmtId="0" fontId="2" fillId="0" borderId="1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49" fontId="2" fillId="0" borderId="12" xfId="0" applyNumberFormat="1" applyFont="1" applyBorder="1" applyAlignment="1" quotePrefix="1">
      <alignment horizontal="center"/>
    </xf>
    <xf numFmtId="0" fontId="5" fillId="0" borderId="11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wrapText="1"/>
    </xf>
    <xf numFmtId="0" fontId="5" fillId="0" borderId="11" xfId="0" applyFont="1" applyBorder="1" applyAlignment="1">
      <alignment horizontal="justify" wrapText="1"/>
    </xf>
    <xf numFmtId="0" fontId="2" fillId="0" borderId="14" xfId="0" applyFont="1" applyBorder="1" applyAlignment="1" quotePrefix="1">
      <alignment horizontal="center"/>
    </xf>
    <xf numFmtId="0" fontId="5" fillId="0" borderId="10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11" xfId="0" applyNumberFormat="1" applyFont="1" applyFill="1" applyBorder="1" applyAlignment="1">
      <alignment horizontal="justify" wrapText="1"/>
    </xf>
    <xf numFmtId="0" fontId="5" fillId="0" borderId="11" xfId="60" applyNumberFormat="1" applyFont="1" applyFill="1" applyBorder="1" applyAlignment="1">
      <alignment horizontal="justify" wrapText="1"/>
    </xf>
    <xf numFmtId="0" fontId="4" fillId="0" borderId="11" xfId="60" applyNumberFormat="1" applyFont="1" applyFill="1" applyBorder="1" applyAlignment="1">
      <alignment horizontal="center"/>
    </xf>
    <xf numFmtId="0" fontId="2" fillId="0" borderId="10" xfId="60" applyNumberFormat="1" applyFont="1" applyFill="1" applyBorder="1" applyAlignment="1">
      <alignment horizontal="justify" wrapText="1"/>
    </xf>
    <xf numFmtId="0" fontId="2" fillId="0" borderId="10" xfId="60" applyNumberFormat="1" applyFont="1" applyFill="1" applyBorder="1" applyAlignment="1">
      <alignment horizontal="center"/>
    </xf>
    <xf numFmtId="0" fontId="5" fillId="0" borderId="10" xfId="60" applyNumberFormat="1" applyFont="1" applyFill="1" applyBorder="1" applyAlignment="1">
      <alignment horizontal="justify" wrapText="1"/>
    </xf>
    <xf numFmtId="0" fontId="5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justify" vertical="justify"/>
    </xf>
    <xf numFmtId="0" fontId="0" fillId="0" borderId="0" xfId="0" applyBorder="1" applyAlignment="1">
      <alignment horizontal="center"/>
    </xf>
    <xf numFmtId="172" fontId="1" fillId="0" borderId="0" xfId="6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1" xfId="0" applyNumberFormat="1" applyFont="1" applyBorder="1" applyAlignment="1" quotePrefix="1">
      <alignment horizontal="center"/>
    </xf>
    <xf numFmtId="49" fontId="2" fillId="0" borderId="15" xfId="0" applyNumberFormat="1" applyFont="1" applyFill="1" applyBorder="1" applyAlignment="1" quotePrefix="1">
      <alignment horizontal="center"/>
    </xf>
    <xf numFmtId="49" fontId="2" fillId="0" borderId="11" xfId="0" applyNumberFormat="1" applyFont="1" applyFill="1" applyBorder="1" applyAlignment="1" quotePrefix="1">
      <alignment horizontal="center"/>
    </xf>
    <xf numFmtId="49" fontId="4" fillId="0" borderId="11" xfId="60" applyNumberFormat="1" applyFont="1" applyBorder="1" applyAlignment="1">
      <alignment horizontal="center"/>
    </xf>
    <xf numFmtId="49" fontId="2" fillId="0" borderId="11" xfId="60" applyNumberFormat="1" applyFont="1" applyBorder="1" applyAlignment="1" quotePrefix="1">
      <alignment horizontal="center"/>
    </xf>
    <xf numFmtId="49" fontId="2" fillId="0" borderId="10" xfId="60" applyNumberFormat="1" applyFont="1" applyBorder="1" applyAlignment="1" quotePrefix="1">
      <alignment horizontal="center"/>
    </xf>
    <xf numFmtId="49" fontId="2" fillId="0" borderId="11" xfId="6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wrapText="1"/>
    </xf>
    <xf numFmtId="172" fontId="2" fillId="0" borderId="10" xfId="60" applyNumberFormat="1" applyFont="1" applyBorder="1" applyAlignment="1">
      <alignment/>
    </xf>
    <xf numFmtId="172" fontId="2" fillId="0" borderId="11" xfId="60" applyNumberFormat="1" applyFont="1" applyBorder="1" applyAlignment="1">
      <alignment/>
    </xf>
    <xf numFmtId="0" fontId="1" fillId="0" borderId="10" xfId="0" applyFont="1" applyFill="1" applyBorder="1" applyAlignment="1">
      <alignment horizontal="justify"/>
    </xf>
    <xf numFmtId="0" fontId="6" fillId="0" borderId="11" xfId="0" applyFont="1" applyBorder="1" applyAlignment="1">
      <alignment horizontal="justify"/>
    </xf>
    <xf numFmtId="0" fontId="1" fillId="0" borderId="10" xfId="60" applyNumberFormat="1" applyFont="1" applyFill="1" applyBorder="1" applyAlignment="1">
      <alignment horizontal="justify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/>
    </xf>
    <xf numFmtId="171" fontId="2" fillId="0" borderId="10" xfId="60" applyNumberFormat="1" applyFont="1" applyBorder="1" applyAlignment="1">
      <alignment/>
    </xf>
    <xf numFmtId="49" fontId="1" fillId="0" borderId="0" xfId="0" applyNumberFormat="1" applyFont="1" applyAlignment="1">
      <alignment horizontal="left" wrapText="1"/>
    </xf>
    <xf numFmtId="192" fontId="6" fillId="0" borderId="0" xfId="60" applyNumberFormat="1" applyFont="1" applyBorder="1" applyAlignment="1">
      <alignment/>
    </xf>
    <xf numFmtId="0" fontId="16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/>
    </xf>
    <xf numFmtId="49" fontId="15" fillId="33" borderId="11" xfId="0" applyNumberFormat="1" applyFont="1" applyFill="1" applyBorder="1" applyAlignment="1">
      <alignment vertical="center" wrapText="1"/>
    </xf>
    <xf numFmtId="49" fontId="15" fillId="34" borderId="11" xfId="0" applyNumberFormat="1" applyFont="1" applyFill="1" applyBorder="1" applyAlignment="1">
      <alignment horizontal="center" wrapText="1"/>
    </xf>
    <xf numFmtId="49" fontId="15" fillId="34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left" vertical="center" wrapText="1"/>
    </xf>
    <xf numFmtId="0" fontId="16" fillId="33" borderId="11" xfId="0" applyNumberFormat="1" applyFont="1" applyFill="1" applyBorder="1" applyAlignment="1">
      <alignment vertical="center" wrapText="1"/>
    </xf>
    <xf numFmtId="0" fontId="16" fillId="35" borderId="11" xfId="0" applyFont="1" applyFill="1" applyBorder="1" applyAlignment="1">
      <alignment wrapText="1"/>
    </xf>
    <xf numFmtId="49" fontId="16" fillId="33" borderId="11" xfId="0" applyNumberFormat="1" applyFont="1" applyFill="1" applyBorder="1" applyAlignment="1">
      <alignment vertical="center" wrapText="1"/>
    </xf>
    <xf numFmtId="0" fontId="16" fillId="35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wrapText="1"/>
    </xf>
    <xf numFmtId="0" fontId="17" fillId="33" borderId="11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wrapText="1"/>
    </xf>
    <xf numFmtId="0" fontId="16" fillId="33" borderId="11" xfId="0" applyNumberFormat="1" applyFont="1" applyFill="1" applyBorder="1" applyAlignment="1">
      <alignment wrapText="1"/>
    </xf>
    <xf numFmtId="0" fontId="16" fillId="33" borderId="11" xfId="0" applyFont="1" applyFill="1" applyBorder="1" applyAlignment="1">
      <alignment/>
    </xf>
    <xf numFmtId="0" fontId="52" fillId="0" borderId="0" xfId="0" applyFont="1" applyAlignment="1">
      <alignment/>
    </xf>
    <xf numFmtId="49" fontId="16" fillId="33" borderId="11" xfId="0" applyNumberFormat="1" applyFont="1" applyFill="1" applyBorder="1" applyAlignment="1">
      <alignment horizontal="center" wrapText="1"/>
    </xf>
    <xf numFmtId="49" fontId="16" fillId="33" borderId="11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11" fontId="15" fillId="0" borderId="11" xfId="0" applyNumberFormat="1" applyFont="1" applyFill="1" applyBorder="1" applyAlignment="1">
      <alignment vertical="center" wrapText="1"/>
    </xf>
    <xf numFmtId="0" fontId="16" fillId="33" borderId="11" xfId="0" applyFont="1" applyFill="1" applyBorder="1" applyAlignment="1">
      <alignment vertical="top" wrapText="1"/>
    </xf>
    <xf numFmtId="0" fontId="16" fillId="35" borderId="11" xfId="0" applyFont="1" applyFill="1" applyBorder="1" applyAlignment="1">
      <alignment vertical="top" wrapText="1"/>
    </xf>
    <xf numFmtId="0" fontId="16" fillId="35" borderId="11" xfId="0" applyFont="1" applyFill="1" applyBorder="1" applyAlignment="1">
      <alignment horizontal="left" vertical="top" wrapText="1"/>
    </xf>
    <xf numFmtId="0" fontId="15" fillId="36" borderId="11" xfId="0" applyFont="1" applyFill="1" applyBorder="1" applyAlignment="1">
      <alignment wrapText="1"/>
    </xf>
    <xf numFmtId="0" fontId="16" fillId="36" borderId="11" xfId="0" applyFont="1" applyFill="1" applyBorder="1" applyAlignment="1">
      <alignment wrapText="1"/>
    </xf>
    <xf numFmtId="49" fontId="16" fillId="34" borderId="11" xfId="0" applyNumberFormat="1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justify"/>
    </xf>
    <xf numFmtId="49" fontId="16" fillId="34" borderId="11" xfId="0" applyNumberFormat="1" applyFont="1" applyFill="1" applyBorder="1" applyAlignment="1">
      <alignment vertical="center" wrapText="1"/>
    </xf>
    <xf numFmtId="0" fontId="16" fillId="36" borderId="11" xfId="0" applyFont="1" applyFill="1" applyBorder="1" applyAlignment="1">
      <alignment vertical="top" wrapText="1"/>
    </xf>
    <xf numFmtId="0" fontId="15" fillId="34" borderId="11" xfId="0" applyFont="1" applyFill="1" applyBorder="1" applyAlignment="1">
      <alignment horizontal="left" vertical="center" wrapText="1"/>
    </xf>
    <xf numFmtId="49" fontId="15" fillId="34" borderId="11" xfId="0" applyNumberFormat="1" applyFont="1" applyFill="1" applyBorder="1" applyAlignment="1">
      <alignment vertical="center" wrapText="1"/>
    </xf>
    <xf numFmtId="0" fontId="16" fillId="36" borderId="11" xfId="0" applyFont="1" applyFill="1" applyBorder="1" applyAlignment="1">
      <alignment horizontal="left" wrapText="1"/>
    </xf>
    <xf numFmtId="0" fontId="16" fillId="34" borderId="11" xfId="0" applyFont="1" applyFill="1" applyBorder="1" applyAlignment="1">
      <alignment wrapText="1"/>
    </xf>
    <xf numFmtId="0" fontId="16" fillId="36" borderId="11" xfId="0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0" fontId="15" fillId="0" borderId="11" xfId="0" applyFont="1" applyFill="1" applyBorder="1" applyAlignment="1">
      <alignment vertical="center" wrapText="1"/>
    </xf>
    <xf numFmtId="172" fontId="2" fillId="0" borderId="11" xfId="60" applyNumberFormat="1" applyFont="1" applyFill="1" applyBorder="1" applyAlignment="1">
      <alignment/>
    </xf>
    <xf numFmtId="172" fontId="2" fillId="0" borderId="10" xfId="60" applyNumberFormat="1" applyFont="1" applyFill="1" applyBorder="1" applyAlignment="1">
      <alignment/>
    </xf>
    <xf numFmtId="172" fontId="2" fillId="0" borderId="15" xfId="60" applyNumberFormat="1" applyFont="1" applyBorder="1" applyAlignment="1">
      <alignment/>
    </xf>
    <xf numFmtId="172" fontId="5" fillId="0" borderId="10" xfId="60" applyNumberFormat="1" applyFont="1" applyBorder="1" applyAlignment="1">
      <alignment/>
    </xf>
    <xf numFmtId="0" fontId="15" fillId="0" borderId="11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justify"/>
    </xf>
    <xf numFmtId="0" fontId="12" fillId="0" borderId="0" xfId="0" applyFont="1" applyFill="1" applyAlignment="1">
      <alignment horizontal="center" vertical="center"/>
    </xf>
    <xf numFmtId="196" fontId="12" fillId="34" borderId="0" xfId="0" applyNumberFormat="1" applyFont="1" applyFill="1" applyAlignment="1">
      <alignment horizontal="center" vertical="center"/>
    </xf>
    <xf numFmtId="196" fontId="9" fillId="34" borderId="0" xfId="0" applyNumberFormat="1" applyFont="1" applyFill="1" applyAlignment="1">
      <alignment horizontal="center" vertical="center"/>
    </xf>
    <xf numFmtId="3" fontId="16" fillId="34" borderId="11" xfId="0" applyNumberFormat="1" applyFont="1" applyFill="1" applyBorder="1" applyAlignment="1">
      <alignment horizontal="center" vertical="center"/>
    </xf>
    <xf numFmtId="172" fontId="15" fillId="34" borderId="11" xfId="60" applyNumberFormat="1" applyFont="1" applyFill="1" applyBorder="1" applyAlignment="1">
      <alignment horizontal="center" vertical="center"/>
    </xf>
    <xf numFmtId="172" fontId="16" fillId="34" borderId="11" xfId="60" applyNumberFormat="1" applyFont="1" applyFill="1" applyBorder="1" applyAlignment="1">
      <alignment horizontal="center" vertical="center"/>
    </xf>
    <xf numFmtId="196" fontId="16" fillId="34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72" fontId="9" fillId="0" borderId="0" xfId="60" applyNumberFormat="1" applyFont="1" applyFill="1" applyAlignment="1">
      <alignment horizontal="right" vertical="center"/>
    </xf>
    <xf numFmtId="172" fontId="15" fillId="0" borderId="11" xfId="60" applyNumberFormat="1" applyFont="1" applyFill="1" applyBorder="1" applyAlignment="1">
      <alignment horizontal="right" vertical="center"/>
    </xf>
    <xf numFmtId="49" fontId="15" fillId="34" borderId="11" xfId="0" applyNumberFormat="1" applyFont="1" applyFill="1" applyBorder="1" applyAlignment="1">
      <alignment horizontal="center" vertical="center" wrapText="1"/>
    </xf>
    <xf numFmtId="49" fontId="15" fillId="34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172" fontId="16" fillId="0" borderId="11" xfId="6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172" fontId="16" fillId="0" borderId="11" xfId="60" applyNumberFormat="1" applyFont="1" applyFill="1" applyBorder="1" applyAlignment="1">
      <alignment horizontal="center" vertical="center"/>
    </xf>
    <xf numFmtId="172" fontId="15" fillId="0" borderId="11" xfId="60" applyNumberFormat="1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/>
    </xf>
    <xf numFmtId="172" fontId="15" fillId="34" borderId="11" xfId="60" applyNumberFormat="1" applyFont="1" applyFill="1" applyBorder="1" applyAlignment="1">
      <alignment horizontal="right" vertical="center"/>
    </xf>
    <xf numFmtId="49" fontId="16" fillId="34" borderId="11" xfId="0" applyNumberFormat="1" applyFont="1" applyFill="1" applyBorder="1" applyAlignment="1">
      <alignment horizontal="center" vertical="center"/>
    </xf>
    <xf numFmtId="49" fontId="16" fillId="34" borderId="11" xfId="0" applyNumberFormat="1" applyFont="1" applyFill="1" applyBorder="1" applyAlignment="1">
      <alignment horizontal="center" vertical="center" wrapText="1"/>
    </xf>
    <xf numFmtId="172" fontId="16" fillId="0" borderId="0" xfId="60" applyNumberFormat="1" applyFont="1" applyFill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172" fontId="10" fillId="0" borderId="0" xfId="60" applyNumberFormat="1" applyFont="1" applyFill="1" applyAlignment="1">
      <alignment horizontal="right" vertical="center"/>
    </xf>
    <xf numFmtId="49" fontId="16" fillId="34" borderId="11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196" fontId="15" fillId="34" borderId="11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="90" zoomScaleNormal="85" zoomScaleSheetLayoutView="90" zoomScalePageLayoutView="0" workbookViewId="0" topLeftCell="A1">
      <selection activeCell="F8" sqref="F8"/>
    </sheetView>
  </sheetViews>
  <sheetFormatPr defaultColWidth="9.00390625" defaultRowHeight="12.75"/>
  <cols>
    <col min="1" max="1" width="51.125" style="0" customWidth="1"/>
    <col min="2" max="2" width="6.375" style="0" customWidth="1"/>
    <col min="3" max="3" width="9.75390625" style="0" customWidth="1"/>
    <col min="4" max="4" width="27.625" style="0" customWidth="1"/>
    <col min="5" max="5" width="24.625" style="0" customWidth="1"/>
  </cols>
  <sheetData>
    <row r="1" spans="3:4" ht="15">
      <c r="C1" s="61" t="s">
        <v>153</v>
      </c>
      <c r="D1" s="61"/>
    </row>
    <row r="2" spans="3:4" ht="15">
      <c r="C2" s="62" t="s">
        <v>62</v>
      </c>
      <c r="D2" s="62"/>
    </row>
    <row r="3" spans="1:5" ht="15">
      <c r="A3" s="1"/>
      <c r="B3" s="2"/>
      <c r="C3" s="63" t="s">
        <v>315</v>
      </c>
      <c r="D3" s="63"/>
      <c r="E3" s="36"/>
    </row>
    <row r="4" spans="1:5" ht="9" customHeight="1">
      <c r="A4" s="3"/>
      <c r="B4" s="4"/>
      <c r="C4" s="161"/>
      <c r="D4" s="161"/>
      <c r="E4" s="36"/>
    </row>
    <row r="5" spans="1:5" ht="6.75" customHeight="1">
      <c r="A5" s="3"/>
      <c r="B5" s="4"/>
      <c r="C5" s="161"/>
      <c r="D5" s="161"/>
      <c r="E5" s="36"/>
    </row>
    <row r="6" spans="1:5" ht="6.75" customHeight="1">
      <c r="A6" s="3"/>
      <c r="B6" s="4"/>
      <c r="C6" s="4"/>
      <c r="D6" s="65"/>
      <c r="E6" s="36"/>
    </row>
    <row r="7" spans="1:5" ht="6.75" customHeight="1">
      <c r="A7" s="3"/>
      <c r="B7" s="4"/>
      <c r="C7" s="4"/>
      <c r="D7" s="65"/>
      <c r="E7" s="36"/>
    </row>
    <row r="8" spans="1:5" ht="5.25" customHeight="1">
      <c r="A8" s="3"/>
      <c r="B8" s="4"/>
      <c r="C8" s="4"/>
      <c r="D8" s="36"/>
      <c r="E8" s="36"/>
    </row>
    <row r="9" spans="1:4" ht="14.25">
      <c r="A9" s="163" t="s">
        <v>278</v>
      </c>
      <c r="B9" s="163"/>
      <c r="C9" s="163"/>
      <c r="D9" s="163"/>
    </row>
    <row r="10" spans="1:4" ht="14.25">
      <c r="A10" s="163" t="s">
        <v>0</v>
      </c>
      <c r="B10" s="163"/>
      <c r="C10" s="163"/>
      <c r="D10" s="163"/>
    </row>
    <row r="11" spans="1:4" ht="14.25">
      <c r="A11" s="163" t="s">
        <v>1</v>
      </c>
      <c r="B11" s="163"/>
      <c r="C11" s="163"/>
      <c r="D11" s="163"/>
    </row>
    <row r="12" spans="1:3" ht="15" hidden="1">
      <c r="A12" s="5"/>
      <c r="B12" s="6"/>
      <c r="C12" s="6"/>
    </row>
    <row r="13" spans="1:5" ht="9" customHeight="1">
      <c r="A13" s="155" t="s">
        <v>3</v>
      </c>
      <c r="B13" s="158" t="s">
        <v>4</v>
      </c>
      <c r="C13" s="158" t="s">
        <v>66</v>
      </c>
      <c r="D13" s="155" t="s">
        <v>2</v>
      </c>
      <c r="E13" s="162"/>
    </row>
    <row r="14" spans="1:5" ht="6.75" customHeight="1">
      <c r="A14" s="156"/>
      <c r="B14" s="159"/>
      <c r="C14" s="159"/>
      <c r="D14" s="156"/>
      <c r="E14" s="162"/>
    </row>
    <row r="15" spans="1:5" ht="6" customHeight="1">
      <c r="A15" s="156"/>
      <c r="B15" s="159"/>
      <c r="C15" s="159"/>
      <c r="D15" s="156"/>
      <c r="E15" s="162"/>
    </row>
    <row r="16" spans="1:5" ht="6" customHeight="1">
      <c r="A16" s="157"/>
      <c r="B16" s="160"/>
      <c r="C16" s="160"/>
      <c r="D16" s="157"/>
      <c r="E16" s="162"/>
    </row>
    <row r="17" spans="1:5" ht="12.75" hidden="1">
      <c r="A17" s="8">
        <v>1</v>
      </c>
      <c r="B17" s="9">
        <v>2</v>
      </c>
      <c r="C17" s="9">
        <v>3</v>
      </c>
      <c r="D17" s="10">
        <v>4</v>
      </c>
      <c r="E17" s="33"/>
    </row>
    <row r="18" spans="1:5" ht="18" customHeight="1">
      <c r="A18" s="11" t="s">
        <v>5</v>
      </c>
      <c r="B18" s="12" t="s">
        <v>6</v>
      </c>
      <c r="C18" s="38" t="s">
        <v>55</v>
      </c>
      <c r="D18" s="64">
        <f>D19+D22+D23+D27+D28</f>
        <v>5906.7108499999995</v>
      </c>
      <c r="E18" s="34"/>
    </row>
    <row r="19" spans="1:5" ht="33" customHeight="1">
      <c r="A19" s="53" t="s">
        <v>7</v>
      </c>
      <c r="B19" s="13" t="s">
        <v>6</v>
      </c>
      <c r="C19" s="42" t="s">
        <v>8</v>
      </c>
      <c r="D19" s="55">
        <f>'прил 6'!K17</f>
        <v>628.44417</v>
      </c>
      <c r="E19" s="35"/>
    </row>
    <row r="20" spans="1:5" ht="39.75" customHeight="1" hidden="1">
      <c r="A20" s="7" t="s">
        <v>64</v>
      </c>
      <c r="B20" s="13" t="s">
        <v>6</v>
      </c>
      <c r="C20" s="42" t="s">
        <v>9</v>
      </c>
      <c r="D20" s="54" t="e">
        <f>'прил 6'!#REF!</f>
        <v>#REF!</v>
      </c>
      <c r="E20" s="35"/>
    </row>
    <row r="21" spans="1:5" ht="37.5" customHeight="1" hidden="1">
      <c r="A21" s="7" t="s">
        <v>7</v>
      </c>
      <c r="B21" s="37" t="s">
        <v>6</v>
      </c>
      <c r="C21" s="38" t="s">
        <v>8</v>
      </c>
      <c r="D21" s="54"/>
      <c r="E21" s="35"/>
    </row>
    <row r="22" spans="1:5" ht="40.5" customHeight="1">
      <c r="A22" s="7" t="s">
        <v>10</v>
      </c>
      <c r="B22" s="15" t="s">
        <v>6</v>
      </c>
      <c r="C22" s="41" t="s">
        <v>11</v>
      </c>
      <c r="D22" s="54">
        <f>'прил 6'!K30</f>
        <v>4999.52668</v>
      </c>
      <c r="E22" s="35"/>
    </row>
    <row r="23" spans="1:5" ht="28.5" customHeight="1">
      <c r="A23" s="7" t="s">
        <v>12</v>
      </c>
      <c r="B23" s="15" t="s">
        <v>6</v>
      </c>
      <c r="C23" s="41" t="s">
        <v>13</v>
      </c>
      <c r="D23" s="54">
        <f>'прил 6'!K58</f>
        <v>15.3</v>
      </c>
      <c r="E23" s="35"/>
    </row>
    <row r="24" spans="1:5" ht="22.5" customHeight="1" hidden="1">
      <c r="A24" s="7" t="s">
        <v>14</v>
      </c>
      <c r="B24" s="15" t="s">
        <v>6</v>
      </c>
      <c r="C24" s="41" t="s">
        <v>15</v>
      </c>
      <c r="D24" s="54" t="e">
        <f>'прил 6'!#REF!</f>
        <v>#REF!</v>
      </c>
      <c r="E24" s="35"/>
    </row>
    <row r="25" spans="1:5" ht="12.75" hidden="1">
      <c r="A25" s="7" t="s">
        <v>16</v>
      </c>
      <c r="B25" s="15" t="s">
        <v>6</v>
      </c>
      <c r="C25" s="41">
        <v>12</v>
      </c>
      <c r="D25" s="54">
        <v>0</v>
      </c>
      <c r="E25" s="35"/>
    </row>
    <row r="26" spans="1:5" ht="38.25" hidden="1">
      <c r="A26" s="32" t="s">
        <v>51</v>
      </c>
      <c r="B26" s="37"/>
      <c r="C26" s="38"/>
      <c r="D26" s="54"/>
      <c r="E26" s="35"/>
    </row>
    <row r="27" spans="1:5" ht="20.25" customHeight="1">
      <c r="A27" s="7" t="s">
        <v>17</v>
      </c>
      <c r="B27" s="15" t="s">
        <v>6</v>
      </c>
      <c r="C27" s="38" t="s">
        <v>70</v>
      </c>
      <c r="D27" s="54">
        <f>'прил 6'!K66</f>
        <v>0</v>
      </c>
      <c r="E27" s="35"/>
    </row>
    <row r="28" spans="1:5" ht="19.5" customHeight="1">
      <c r="A28" s="53" t="s">
        <v>18</v>
      </c>
      <c r="B28" s="16" t="s">
        <v>6</v>
      </c>
      <c r="C28" s="40" t="s">
        <v>71</v>
      </c>
      <c r="D28" s="54">
        <f>'прил 6'!K71</f>
        <v>263.44</v>
      </c>
      <c r="E28" s="35"/>
    </row>
    <row r="29" spans="1:5" ht="16.5" customHeight="1">
      <c r="A29" s="11" t="s">
        <v>52</v>
      </c>
      <c r="B29" s="37" t="s">
        <v>8</v>
      </c>
      <c r="C29" s="41"/>
      <c r="D29" s="54">
        <f>'прил 6'!K85</f>
        <v>225.50261999999998</v>
      </c>
      <c r="E29" s="35"/>
    </row>
    <row r="30" spans="1:5" ht="20.25" customHeight="1">
      <c r="A30" s="7" t="s">
        <v>53</v>
      </c>
      <c r="B30" s="37" t="s">
        <v>8</v>
      </c>
      <c r="C30" s="38" t="s">
        <v>9</v>
      </c>
      <c r="D30" s="54">
        <f>'прил 6'!K86</f>
        <v>225.50261999999998</v>
      </c>
      <c r="E30" s="35"/>
    </row>
    <row r="31" spans="1:5" ht="27" customHeight="1">
      <c r="A31" s="51" t="s">
        <v>19</v>
      </c>
      <c r="B31" s="40" t="s">
        <v>9</v>
      </c>
      <c r="C31" s="40" t="s">
        <v>55</v>
      </c>
      <c r="D31" s="55">
        <f>D32+D33</f>
        <v>285.3705</v>
      </c>
      <c r="E31" s="35"/>
    </row>
    <row r="32" spans="1:5" ht="27" customHeight="1">
      <c r="A32" s="56" t="s">
        <v>69</v>
      </c>
      <c r="B32" s="40" t="s">
        <v>9</v>
      </c>
      <c r="C32" s="40" t="s">
        <v>20</v>
      </c>
      <c r="D32" s="55">
        <f>'прил 6'!K96</f>
        <v>0</v>
      </c>
      <c r="E32" s="35"/>
    </row>
    <row r="33" spans="1:5" ht="20.25" customHeight="1">
      <c r="A33" s="52" t="s">
        <v>58</v>
      </c>
      <c r="B33" s="40" t="s">
        <v>9</v>
      </c>
      <c r="C33" s="40" t="s">
        <v>48</v>
      </c>
      <c r="D33" s="55">
        <f>'прил 6'!K101</f>
        <v>285.3705</v>
      </c>
      <c r="E33" s="35"/>
    </row>
    <row r="34" spans="1:5" ht="20.25" customHeight="1">
      <c r="A34" s="51" t="s">
        <v>61</v>
      </c>
      <c r="B34" s="40" t="s">
        <v>11</v>
      </c>
      <c r="C34" s="40" t="s">
        <v>55</v>
      </c>
      <c r="D34" s="55">
        <f>D35+D36</f>
        <v>2444.84122</v>
      </c>
      <c r="E34" s="35"/>
    </row>
    <row r="35" spans="1:5" ht="25.5" customHeight="1">
      <c r="A35" s="52" t="s">
        <v>75</v>
      </c>
      <c r="B35" s="40" t="s">
        <v>11</v>
      </c>
      <c r="C35" s="40" t="s">
        <v>20</v>
      </c>
      <c r="D35" s="55">
        <f>'прил 6'!K107</f>
        <v>2405.91122</v>
      </c>
      <c r="E35" s="35"/>
    </row>
    <row r="36" spans="1:5" ht="19.5" customHeight="1">
      <c r="A36" s="52" t="s">
        <v>22</v>
      </c>
      <c r="B36" s="40" t="s">
        <v>11</v>
      </c>
      <c r="C36" s="40" t="s">
        <v>45</v>
      </c>
      <c r="D36" s="55">
        <f>'прил 6'!K118</f>
        <v>38.93</v>
      </c>
      <c r="E36" s="35"/>
    </row>
    <row r="37" spans="1:5" ht="19.5" customHeight="1">
      <c r="A37" s="19" t="s">
        <v>23</v>
      </c>
      <c r="B37" s="14" t="s">
        <v>24</v>
      </c>
      <c r="C37" s="40" t="s">
        <v>55</v>
      </c>
      <c r="D37" s="55">
        <f>D38+D39+D46</f>
        <v>11112.91254</v>
      </c>
      <c r="E37" s="34"/>
    </row>
    <row r="38" spans="1:5" ht="18" customHeight="1">
      <c r="A38" s="53" t="s">
        <v>47</v>
      </c>
      <c r="B38" s="14" t="s">
        <v>24</v>
      </c>
      <c r="C38" s="42" t="s">
        <v>6</v>
      </c>
      <c r="D38" s="55">
        <f>'прил 6'!K127</f>
        <v>3650.2205299999996</v>
      </c>
      <c r="E38" s="34"/>
    </row>
    <row r="39" spans="1:5" ht="16.5" customHeight="1">
      <c r="A39" s="18" t="s">
        <v>25</v>
      </c>
      <c r="B39" s="20" t="s">
        <v>24</v>
      </c>
      <c r="C39" s="42" t="s">
        <v>8</v>
      </c>
      <c r="D39" s="111">
        <f>'прил 6'!K141</f>
        <v>1568.79977</v>
      </c>
      <c r="E39" s="35"/>
    </row>
    <row r="40" spans="1:5" ht="24" customHeight="1" hidden="1">
      <c r="A40" s="18" t="s">
        <v>26</v>
      </c>
      <c r="B40" s="20" t="s">
        <v>24</v>
      </c>
      <c r="C40" s="42" t="s">
        <v>11</v>
      </c>
      <c r="D40" s="112"/>
      <c r="E40" s="35"/>
    </row>
    <row r="41" spans="1:5" ht="13.5" customHeight="1" hidden="1">
      <c r="A41" s="21" t="s">
        <v>27</v>
      </c>
      <c r="B41" s="14" t="s">
        <v>15</v>
      </c>
      <c r="C41" s="38"/>
      <c r="D41" s="54">
        <f>SUM(D42:D45)</f>
        <v>0</v>
      </c>
      <c r="E41" s="34"/>
    </row>
    <row r="42" spans="1:5" ht="14.25" customHeight="1" hidden="1">
      <c r="A42" s="22" t="s">
        <v>28</v>
      </c>
      <c r="B42" s="14" t="s">
        <v>15</v>
      </c>
      <c r="C42" s="43" t="s">
        <v>6</v>
      </c>
      <c r="D42" s="113">
        <v>0</v>
      </c>
      <c r="E42" s="35"/>
    </row>
    <row r="43" spans="1:5" ht="15" customHeight="1" hidden="1">
      <c r="A43" s="18" t="s">
        <v>29</v>
      </c>
      <c r="B43" s="14" t="s">
        <v>15</v>
      </c>
      <c r="C43" s="44" t="s">
        <v>8</v>
      </c>
      <c r="D43" s="111">
        <v>0</v>
      </c>
      <c r="E43" s="35"/>
    </row>
    <row r="44" spans="1:5" ht="15.75" customHeight="1" hidden="1">
      <c r="A44" s="18" t="s">
        <v>30</v>
      </c>
      <c r="B44" s="14" t="s">
        <v>15</v>
      </c>
      <c r="C44" s="44" t="s">
        <v>15</v>
      </c>
      <c r="D44" s="111"/>
      <c r="E44" s="35"/>
    </row>
    <row r="45" spans="1:5" ht="17.25" customHeight="1" hidden="1">
      <c r="A45" s="18" t="s">
        <v>31</v>
      </c>
      <c r="B45" s="14" t="s">
        <v>15</v>
      </c>
      <c r="C45" s="44" t="s">
        <v>20</v>
      </c>
      <c r="D45" s="111"/>
      <c r="E45" s="35"/>
    </row>
    <row r="46" spans="1:5" ht="18" customHeight="1">
      <c r="A46" s="18" t="s">
        <v>54</v>
      </c>
      <c r="B46" s="20" t="s">
        <v>24</v>
      </c>
      <c r="C46" s="40" t="s">
        <v>9</v>
      </c>
      <c r="D46" s="111">
        <f>'прил 6'!K166</f>
        <v>5893.892239999999</v>
      </c>
      <c r="E46" s="35"/>
    </row>
    <row r="47" spans="1:5" ht="17.25" customHeight="1">
      <c r="A47" s="103" t="s">
        <v>27</v>
      </c>
      <c r="B47" s="50" t="s">
        <v>15</v>
      </c>
      <c r="C47" s="40" t="s">
        <v>55</v>
      </c>
      <c r="D47" s="111">
        <f>D48</f>
        <v>0</v>
      </c>
      <c r="E47" s="35"/>
    </row>
    <row r="48" spans="1:5" ht="17.25" customHeight="1">
      <c r="A48" s="103" t="s">
        <v>308</v>
      </c>
      <c r="B48" s="50" t="s">
        <v>15</v>
      </c>
      <c r="C48" s="40" t="s">
        <v>15</v>
      </c>
      <c r="D48" s="111">
        <f>'прил 6'!K207</f>
        <v>0</v>
      </c>
      <c r="E48" s="35"/>
    </row>
    <row r="49" spans="1:5" ht="25.5" customHeight="1">
      <c r="A49" s="17" t="s">
        <v>49</v>
      </c>
      <c r="B49" s="14" t="s">
        <v>32</v>
      </c>
      <c r="C49" s="40" t="s">
        <v>55</v>
      </c>
      <c r="D49" s="55">
        <f>D50</f>
        <v>5122.001679999999</v>
      </c>
      <c r="E49" s="34"/>
    </row>
    <row r="50" spans="1:5" ht="18.75" customHeight="1">
      <c r="A50" s="18" t="s">
        <v>33</v>
      </c>
      <c r="B50" s="14" t="s">
        <v>32</v>
      </c>
      <c r="C50" s="44" t="s">
        <v>6</v>
      </c>
      <c r="D50" s="55">
        <f>'прил 6'!K213</f>
        <v>5122.001679999999</v>
      </c>
      <c r="E50" s="35"/>
    </row>
    <row r="51" spans="1:5" ht="24.75" customHeight="1" hidden="1">
      <c r="A51" s="23" t="s">
        <v>34</v>
      </c>
      <c r="B51" s="14" t="s">
        <v>32</v>
      </c>
      <c r="C51" s="44" t="s">
        <v>13</v>
      </c>
      <c r="D51" s="55"/>
      <c r="E51" s="35"/>
    </row>
    <row r="52" spans="1:5" ht="20.25" customHeight="1">
      <c r="A52" s="57" t="s">
        <v>36</v>
      </c>
      <c r="B52" s="38" t="s">
        <v>48</v>
      </c>
      <c r="C52" s="40" t="s">
        <v>55</v>
      </c>
      <c r="D52" s="55">
        <f>D53+D54</f>
        <v>37.95723</v>
      </c>
      <c r="E52" s="35"/>
    </row>
    <row r="53" spans="1:5" ht="24.75" customHeight="1">
      <c r="A53" s="58" t="s">
        <v>37</v>
      </c>
      <c r="B53" s="38" t="s">
        <v>48</v>
      </c>
      <c r="C53" s="44" t="s">
        <v>6</v>
      </c>
      <c r="D53" s="55">
        <f>'прил 6'!K257</f>
        <v>37.95723</v>
      </c>
      <c r="E53" s="35"/>
    </row>
    <row r="54" spans="1:5" ht="24.75" customHeight="1" hidden="1">
      <c r="A54" s="56" t="s">
        <v>202</v>
      </c>
      <c r="B54" s="38" t="s">
        <v>48</v>
      </c>
      <c r="C54" s="39" t="s">
        <v>13</v>
      </c>
      <c r="D54" s="55"/>
      <c r="E54" s="35"/>
    </row>
    <row r="55" spans="1:5" ht="24.75" customHeight="1" hidden="1">
      <c r="A55" s="56" t="s">
        <v>143</v>
      </c>
      <c r="B55" s="38" t="s">
        <v>48</v>
      </c>
      <c r="C55" s="39" t="s">
        <v>11</v>
      </c>
      <c r="D55" s="55" t="e">
        <f>'прил 6'!#REF!</f>
        <v>#REF!</v>
      </c>
      <c r="E55" s="35"/>
    </row>
    <row r="56" spans="1:5" ht="15.75" customHeight="1">
      <c r="A56" s="17" t="s">
        <v>73</v>
      </c>
      <c r="B56" s="14">
        <v>11</v>
      </c>
      <c r="C56" s="40" t="s">
        <v>55</v>
      </c>
      <c r="D56" s="55">
        <f>D57</f>
        <v>132.514</v>
      </c>
      <c r="E56" s="34"/>
    </row>
    <row r="57" spans="1:5" ht="17.25" customHeight="1">
      <c r="A57" s="18" t="s">
        <v>72</v>
      </c>
      <c r="B57" s="14">
        <v>11</v>
      </c>
      <c r="C57" s="39" t="s">
        <v>8</v>
      </c>
      <c r="D57" s="55">
        <f>'прил 6'!K276</f>
        <v>132.514</v>
      </c>
      <c r="E57" s="35"/>
    </row>
    <row r="58" spans="1:5" ht="14.25" customHeight="1" hidden="1">
      <c r="A58" s="24" t="s">
        <v>35</v>
      </c>
      <c r="B58" s="14" t="s">
        <v>20</v>
      </c>
      <c r="C58" s="44" t="s">
        <v>8</v>
      </c>
      <c r="D58" s="55"/>
      <c r="E58" s="35"/>
    </row>
    <row r="59" spans="1:5" ht="16.5" customHeight="1" hidden="1">
      <c r="A59" s="25" t="s">
        <v>36</v>
      </c>
      <c r="B59" s="26">
        <v>10</v>
      </c>
      <c r="C59" s="45" t="s">
        <v>55</v>
      </c>
      <c r="D59" s="55">
        <f>SUM(D60:D62)</f>
        <v>0</v>
      </c>
      <c r="E59" s="34"/>
    </row>
    <row r="60" spans="1:5" ht="15" customHeight="1" hidden="1">
      <c r="A60" s="27" t="s">
        <v>37</v>
      </c>
      <c r="B60" s="28">
        <v>10</v>
      </c>
      <c r="C60" s="46" t="s">
        <v>6</v>
      </c>
      <c r="D60" s="55"/>
      <c r="E60" s="35"/>
    </row>
    <row r="61" spans="1:5" ht="18.75" customHeight="1" hidden="1">
      <c r="A61" s="27" t="s">
        <v>38</v>
      </c>
      <c r="B61" s="28">
        <v>10</v>
      </c>
      <c r="C61" s="46" t="s">
        <v>9</v>
      </c>
      <c r="D61" s="55"/>
      <c r="E61" s="35"/>
    </row>
    <row r="62" spans="1:5" ht="17.25" customHeight="1" hidden="1">
      <c r="A62" s="27" t="s">
        <v>39</v>
      </c>
      <c r="B62" s="28">
        <v>10</v>
      </c>
      <c r="C62" s="46" t="s">
        <v>13</v>
      </c>
      <c r="D62" s="55"/>
      <c r="E62" s="35"/>
    </row>
    <row r="63" spans="1:5" ht="15" customHeight="1" hidden="1">
      <c r="A63" s="29" t="s">
        <v>40</v>
      </c>
      <c r="B63" s="28">
        <v>11</v>
      </c>
      <c r="C63" s="48" t="s">
        <v>55</v>
      </c>
      <c r="D63" s="55">
        <f>SUM(D64)</f>
        <v>0</v>
      </c>
      <c r="E63" s="34"/>
    </row>
    <row r="64" spans="1:5" ht="16.5" customHeight="1" hidden="1">
      <c r="A64" s="27" t="s">
        <v>41</v>
      </c>
      <c r="B64" s="28">
        <v>11</v>
      </c>
      <c r="C64" s="47" t="s">
        <v>6</v>
      </c>
      <c r="D64" s="54"/>
      <c r="E64" s="35"/>
    </row>
    <row r="65" spans="1:5" ht="22.5" customHeight="1">
      <c r="A65" s="29" t="s">
        <v>42</v>
      </c>
      <c r="B65" s="30"/>
      <c r="C65" s="49"/>
      <c r="D65" s="114">
        <f>SUM(D18+D29+D31+D34+D37+D49+D56+D59+D52)</f>
        <v>25267.81064</v>
      </c>
      <c r="E65" s="66"/>
    </row>
    <row r="66" ht="12.75">
      <c r="E66" s="31"/>
    </row>
    <row r="67" ht="12.75">
      <c r="E67" s="31"/>
    </row>
    <row r="68" spans="1:5" ht="12.75">
      <c r="A68" s="1"/>
      <c r="E68" s="31"/>
    </row>
    <row r="69" spans="1:5" ht="12.75">
      <c r="A69" s="1"/>
      <c r="E69" s="31"/>
    </row>
    <row r="70" spans="1:5" ht="12.75">
      <c r="A70" s="1"/>
      <c r="E70" s="31"/>
    </row>
    <row r="71" spans="1:5" ht="16.5" customHeight="1">
      <c r="A71" s="1"/>
      <c r="E71" s="31"/>
    </row>
    <row r="72" spans="1:5" ht="12.75">
      <c r="A72" s="1"/>
      <c r="E72" s="31"/>
    </row>
    <row r="73" spans="1:5" ht="12.75">
      <c r="A73" s="1"/>
      <c r="E73" s="31"/>
    </row>
  </sheetData>
  <sheetProtection/>
  <mergeCells count="10">
    <mergeCell ref="D13:D16"/>
    <mergeCell ref="C13:C16"/>
    <mergeCell ref="C4:D4"/>
    <mergeCell ref="C5:D5"/>
    <mergeCell ref="E13:E16"/>
    <mergeCell ref="A9:D9"/>
    <mergeCell ref="A10:D10"/>
    <mergeCell ref="A11:D11"/>
    <mergeCell ref="A13:A16"/>
    <mergeCell ref="B13:B16"/>
  </mergeCells>
  <printOptions/>
  <pageMargins left="0.984251968503937" right="0" top="0.1968503937007874" bottom="0.984251968503937" header="0.31496062992125984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57.25390625" style="59" customWidth="1"/>
    <col min="2" max="2" width="5.125" style="59" hidden="1" customWidth="1"/>
    <col min="3" max="3" width="6.00390625" style="59" hidden="1" customWidth="1"/>
    <col min="4" max="4" width="6.00390625" style="124" customWidth="1"/>
    <col min="5" max="5" width="5.00390625" style="124" customWidth="1"/>
    <col min="6" max="6" width="5.125" style="124" customWidth="1"/>
    <col min="7" max="7" width="13.125" style="130" customWidth="1"/>
    <col min="8" max="8" width="5.00390625" style="124" customWidth="1"/>
    <col min="9" max="9" width="11.375" style="119" customWidth="1"/>
    <col min="10" max="10" width="8.625" style="124" hidden="1" customWidth="1"/>
    <col min="11" max="11" width="14.75390625" style="127" customWidth="1"/>
    <col min="12" max="12" width="11.25390625" style="127" customWidth="1"/>
    <col min="13" max="13" width="9.125" style="59" customWidth="1"/>
    <col min="14" max="14" width="14.00390625" style="59" bestFit="1" customWidth="1"/>
    <col min="15" max="16384" width="9.125" style="59" customWidth="1"/>
  </cols>
  <sheetData>
    <row r="1" spans="5:9" ht="12.75" customHeight="1">
      <c r="E1" s="125"/>
      <c r="F1" s="170" t="s">
        <v>273</v>
      </c>
      <c r="G1" s="170"/>
      <c r="H1" s="170"/>
      <c r="I1" s="170"/>
    </row>
    <row r="2" spans="5:9" ht="12.75" customHeight="1">
      <c r="E2" s="125"/>
      <c r="F2" s="170" t="s">
        <v>97</v>
      </c>
      <c r="G2" s="170"/>
      <c r="H2" s="170"/>
      <c r="I2" s="170"/>
    </row>
    <row r="3" spans="5:9" ht="13.5" customHeight="1" hidden="1">
      <c r="E3" s="125"/>
      <c r="F3" s="171"/>
      <c r="G3" s="171"/>
      <c r="H3" s="171"/>
      <c r="I3" s="171"/>
    </row>
    <row r="4" spans="5:11" ht="14.25" customHeight="1">
      <c r="E4" s="125"/>
      <c r="F4" s="128" t="s">
        <v>315</v>
      </c>
      <c r="G4" s="128"/>
      <c r="H4" s="128"/>
      <c r="I4" s="117"/>
      <c r="J4" s="128"/>
      <c r="K4" s="128"/>
    </row>
    <row r="5" spans="6:9" ht="5.25" customHeight="1">
      <c r="F5" s="126"/>
      <c r="G5" s="126"/>
      <c r="H5" s="126"/>
      <c r="I5" s="118"/>
    </row>
    <row r="6" spans="1:9" ht="4.5" customHeight="1">
      <c r="A6" s="172"/>
      <c r="B6" s="172"/>
      <c r="C6" s="172"/>
      <c r="D6" s="172"/>
      <c r="E6" s="172"/>
      <c r="F6" s="172"/>
      <c r="G6" s="172"/>
      <c r="H6" s="172"/>
      <c r="I6" s="172"/>
    </row>
    <row r="7" spans="1:9" ht="2.25" customHeight="1">
      <c r="A7" s="173"/>
      <c r="B7" s="173"/>
      <c r="C7" s="173"/>
      <c r="D7" s="173"/>
      <c r="E7" s="173"/>
      <c r="F7" s="173"/>
      <c r="G7" s="173"/>
      <c r="H7" s="173"/>
      <c r="I7" s="173"/>
    </row>
    <row r="8" spans="1:9" ht="1.5" customHeight="1">
      <c r="A8" s="164"/>
      <c r="B8" s="164"/>
      <c r="C8" s="164"/>
      <c r="D8" s="164"/>
      <c r="E8" s="164"/>
      <c r="F8" s="164"/>
      <c r="G8" s="164"/>
      <c r="H8" s="164"/>
      <c r="I8" s="164"/>
    </row>
    <row r="9" spans="1:9" ht="9.75" customHeight="1">
      <c r="A9" s="164"/>
      <c r="B9" s="164"/>
      <c r="C9" s="164"/>
      <c r="D9" s="164"/>
      <c r="E9" s="164"/>
      <c r="F9" s="164"/>
      <c r="G9" s="164"/>
      <c r="H9" s="164"/>
      <c r="I9" s="164"/>
    </row>
    <row r="10" spans="1:9" ht="14.25">
      <c r="A10" s="165" t="s">
        <v>279</v>
      </c>
      <c r="B10" s="165"/>
      <c r="C10" s="165"/>
      <c r="D10" s="165"/>
      <c r="E10" s="165"/>
      <c r="F10" s="165"/>
      <c r="G10" s="165"/>
      <c r="H10" s="165"/>
      <c r="I10" s="165"/>
    </row>
    <row r="11" spans="1:8" ht="12">
      <c r="A11" s="60"/>
      <c r="B11" s="60"/>
      <c r="C11" s="60"/>
      <c r="D11" s="129"/>
      <c r="E11" s="130"/>
      <c r="F11" s="130"/>
      <c r="H11" s="130"/>
    </row>
    <row r="12" spans="1:12" ht="12">
      <c r="A12" s="166" t="s">
        <v>210</v>
      </c>
      <c r="B12" s="166" t="s">
        <v>76</v>
      </c>
      <c r="C12" s="166" t="s">
        <v>46</v>
      </c>
      <c r="D12" s="166" t="s">
        <v>76</v>
      </c>
      <c r="E12" s="166" t="s">
        <v>77</v>
      </c>
      <c r="F12" s="166" t="s">
        <v>78</v>
      </c>
      <c r="G12" s="166" t="s">
        <v>43</v>
      </c>
      <c r="H12" s="166" t="s">
        <v>79</v>
      </c>
      <c r="I12" s="167" t="s">
        <v>292</v>
      </c>
      <c r="J12" s="127"/>
      <c r="K12" s="168" t="s">
        <v>293</v>
      </c>
      <c r="L12" s="168" t="s">
        <v>277</v>
      </c>
    </row>
    <row r="13" spans="1:12" ht="12">
      <c r="A13" s="166"/>
      <c r="B13" s="166"/>
      <c r="C13" s="166"/>
      <c r="D13" s="166"/>
      <c r="E13" s="166"/>
      <c r="F13" s="166"/>
      <c r="G13" s="166"/>
      <c r="H13" s="166"/>
      <c r="I13" s="167"/>
      <c r="J13" s="127"/>
      <c r="K13" s="169"/>
      <c r="L13" s="169"/>
    </row>
    <row r="14" spans="1:12" ht="12">
      <c r="A14" s="67">
        <v>1</v>
      </c>
      <c r="B14" s="67"/>
      <c r="C14" s="67"/>
      <c r="D14" s="131">
        <v>2</v>
      </c>
      <c r="E14" s="132">
        <v>3</v>
      </c>
      <c r="F14" s="132">
        <v>4</v>
      </c>
      <c r="G14" s="132">
        <v>5</v>
      </c>
      <c r="H14" s="132">
        <v>6</v>
      </c>
      <c r="I14" s="120">
        <v>7</v>
      </c>
      <c r="K14" s="132">
        <v>8</v>
      </c>
      <c r="L14" s="132">
        <v>9</v>
      </c>
    </row>
    <row r="15" spans="1:12" ht="12">
      <c r="A15" s="68" t="s">
        <v>98</v>
      </c>
      <c r="B15" s="69"/>
      <c r="C15" s="69"/>
      <c r="D15" s="115">
        <v>819</v>
      </c>
      <c r="E15" s="133"/>
      <c r="F15" s="133"/>
      <c r="G15" s="133"/>
      <c r="H15" s="133"/>
      <c r="I15" s="121">
        <f>I16+I95+I106+I126+I212+I256+I276+I85+I207</f>
        <v>42014.826835</v>
      </c>
      <c r="J15" s="121">
        <f>J16+J95+J106+J126+J212+J256+J276+J85+J207</f>
        <v>0</v>
      </c>
      <c r="K15" s="121">
        <f>K16+K95+K106+K126+K212+K256+K276+K85+K207</f>
        <v>25267.81064</v>
      </c>
      <c r="L15" s="121">
        <f>K15/I15*100</f>
        <v>60.140223210323754</v>
      </c>
    </row>
    <row r="16" spans="1:12" ht="12">
      <c r="A16" s="71" t="s">
        <v>5</v>
      </c>
      <c r="B16" s="72" t="s">
        <v>80</v>
      </c>
      <c r="C16" s="72" t="s">
        <v>80</v>
      </c>
      <c r="D16" s="136" t="s">
        <v>65</v>
      </c>
      <c r="E16" s="137" t="s">
        <v>6</v>
      </c>
      <c r="F16" s="137"/>
      <c r="G16" s="137"/>
      <c r="H16" s="137"/>
      <c r="I16" s="121">
        <f>I17+I30+I58+I62+I66+I71</f>
        <v>9331.30431</v>
      </c>
      <c r="J16" s="134"/>
      <c r="K16" s="135">
        <f>K17+K30+K58+K62+K66+K71</f>
        <v>5906.7108499999995</v>
      </c>
      <c r="L16" s="135">
        <f>K16/I16*100</f>
        <v>63.29994879354652</v>
      </c>
    </row>
    <row r="17" spans="1:12" ht="24">
      <c r="A17" s="74" t="s">
        <v>81</v>
      </c>
      <c r="B17" s="75" t="s">
        <v>80</v>
      </c>
      <c r="C17" s="75" t="s">
        <v>80</v>
      </c>
      <c r="D17" s="138" t="s">
        <v>65</v>
      </c>
      <c r="E17" s="133" t="s">
        <v>6</v>
      </c>
      <c r="F17" s="133" t="s">
        <v>8</v>
      </c>
      <c r="G17" s="133"/>
      <c r="H17" s="133"/>
      <c r="I17" s="121">
        <f>I18</f>
        <v>911.3270500000001</v>
      </c>
      <c r="J17" s="134"/>
      <c r="K17" s="139">
        <f>K18</f>
        <v>628.44417</v>
      </c>
      <c r="L17" s="135">
        <f aca="true" t="shared" si="0" ref="L17:L79">K17/I17*100</f>
        <v>68.95923587476088</v>
      </c>
    </row>
    <row r="18" spans="1:12" ht="12">
      <c r="A18" s="76" t="s">
        <v>104</v>
      </c>
      <c r="B18" s="77" t="s">
        <v>80</v>
      </c>
      <c r="C18" s="77" t="s">
        <v>80</v>
      </c>
      <c r="D18" s="140" t="s">
        <v>65</v>
      </c>
      <c r="E18" s="141" t="s">
        <v>6</v>
      </c>
      <c r="F18" s="141" t="s">
        <v>8</v>
      </c>
      <c r="G18" s="141" t="s">
        <v>155</v>
      </c>
      <c r="H18" s="141"/>
      <c r="I18" s="122">
        <f>I19</f>
        <v>911.3270500000001</v>
      </c>
      <c r="J18" s="134"/>
      <c r="K18" s="139">
        <f>K19</f>
        <v>628.44417</v>
      </c>
      <c r="L18" s="135">
        <f t="shared" si="0"/>
        <v>68.95923587476088</v>
      </c>
    </row>
    <row r="19" spans="1:12" ht="12">
      <c r="A19" s="76" t="s">
        <v>50</v>
      </c>
      <c r="B19" s="77" t="s">
        <v>80</v>
      </c>
      <c r="C19" s="77" t="s">
        <v>80</v>
      </c>
      <c r="D19" s="140" t="s">
        <v>65</v>
      </c>
      <c r="E19" s="141" t="s">
        <v>6</v>
      </c>
      <c r="F19" s="141" t="s">
        <v>8</v>
      </c>
      <c r="G19" s="141" t="s">
        <v>156</v>
      </c>
      <c r="H19" s="141"/>
      <c r="I19" s="122">
        <f>I21</f>
        <v>911.3270500000001</v>
      </c>
      <c r="J19" s="134"/>
      <c r="K19" s="139">
        <f>K21</f>
        <v>628.44417</v>
      </c>
      <c r="L19" s="135">
        <f t="shared" si="0"/>
        <v>68.95923587476088</v>
      </c>
    </row>
    <row r="20" spans="1:12" ht="24">
      <c r="A20" s="76" t="s">
        <v>82</v>
      </c>
      <c r="B20" s="77"/>
      <c r="C20" s="77"/>
      <c r="D20" s="140" t="s">
        <v>65</v>
      </c>
      <c r="E20" s="141" t="s">
        <v>6</v>
      </c>
      <c r="F20" s="141" t="s">
        <v>8</v>
      </c>
      <c r="G20" s="141" t="s">
        <v>157</v>
      </c>
      <c r="H20" s="141"/>
      <c r="I20" s="122">
        <f>I21</f>
        <v>911.3270500000001</v>
      </c>
      <c r="J20" s="134"/>
      <c r="K20" s="139">
        <f>K21</f>
        <v>628.44417</v>
      </c>
      <c r="L20" s="135">
        <f t="shared" si="0"/>
        <v>68.95923587476088</v>
      </c>
    </row>
    <row r="21" spans="1:12" ht="24">
      <c r="A21" s="76" t="s">
        <v>101</v>
      </c>
      <c r="B21" s="77" t="s">
        <v>80</v>
      </c>
      <c r="C21" s="77" t="s">
        <v>80</v>
      </c>
      <c r="D21" s="140" t="s">
        <v>65</v>
      </c>
      <c r="E21" s="141" t="s">
        <v>6</v>
      </c>
      <c r="F21" s="141" t="s">
        <v>8</v>
      </c>
      <c r="G21" s="141" t="s">
        <v>157</v>
      </c>
      <c r="H21" s="141" t="s">
        <v>100</v>
      </c>
      <c r="I21" s="122">
        <f>(669222+202105.05)/1000+40000/1000</f>
        <v>911.3270500000001</v>
      </c>
      <c r="J21" s="134"/>
      <c r="K21" s="139">
        <f>628444.17/1000</f>
        <v>628.44417</v>
      </c>
      <c r="L21" s="135">
        <f t="shared" si="0"/>
        <v>68.95923587476088</v>
      </c>
    </row>
    <row r="22" spans="1:12" ht="36" hidden="1">
      <c r="A22" s="74" t="s">
        <v>64</v>
      </c>
      <c r="B22" s="75" t="s">
        <v>80</v>
      </c>
      <c r="C22" s="75" t="s">
        <v>80</v>
      </c>
      <c r="D22" s="138" t="s">
        <v>65</v>
      </c>
      <c r="E22" s="133" t="s">
        <v>6</v>
      </c>
      <c r="F22" s="133" t="s">
        <v>9</v>
      </c>
      <c r="G22" s="133"/>
      <c r="H22" s="133"/>
      <c r="I22" s="121">
        <f>I23+I27</f>
        <v>0</v>
      </c>
      <c r="J22" s="134"/>
      <c r="K22" s="139">
        <f>K23+K27</f>
        <v>0</v>
      </c>
      <c r="L22" s="135" t="e">
        <f t="shared" si="0"/>
        <v>#DIV/0!</v>
      </c>
    </row>
    <row r="23" spans="1:12" ht="24" hidden="1">
      <c r="A23" s="76" t="s">
        <v>103</v>
      </c>
      <c r="B23" s="75"/>
      <c r="C23" s="77" t="s">
        <v>80</v>
      </c>
      <c r="D23" s="140" t="s">
        <v>65</v>
      </c>
      <c r="E23" s="141" t="s">
        <v>6</v>
      </c>
      <c r="F23" s="141" t="s">
        <v>9</v>
      </c>
      <c r="G23" s="141" t="s">
        <v>158</v>
      </c>
      <c r="H23" s="141"/>
      <c r="I23" s="122">
        <f>I24</f>
        <v>0</v>
      </c>
      <c r="J23" s="134"/>
      <c r="K23" s="139">
        <f>K24</f>
        <v>0</v>
      </c>
      <c r="L23" s="135" t="e">
        <f t="shared" si="0"/>
        <v>#DIV/0!</v>
      </c>
    </row>
    <row r="24" spans="1:12" ht="12" hidden="1">
      <c r="A24" s="76" t="s">
        <v>63</v>
      </c>
      <c r="B24" s="77" t="s">
        <v>80</v>
      </c>
      <c r="C24" s="77" t="s">
        <v>80</v>
      </c>
      <c r="D24" s="140" t="s">
        <v>65</v>
      </c>
      <c r="E24" s="141" t="s">
        <v>6</v>
      </c>
      <c r="F24" s="141" t="s">
        <v>9</v>
      </c>
      <c r="G24" s="141" t="s">
        <v>159</v>
      </c>
      <c r="H24" s="141"/>
      <c r="I24" s="122">
        <f>I25</f>
        <v>0</v>
      </c>
      <c r="J24" s="134"/>
      <c r="K24" s="139">
        <f>K25</f>
        <v>0</v>
      </c>
      <c r="L24" s="135" t="e">
        <f t="shared" si="0"/>
        <v>#DIV/0!</v>
      </c>
    </row>
    <row r="25" spans="1:12" ht="24" hidden="1">
      <c r="A25" s="76" t="s">
        <v>82</v>
      </c>
      <c r="B25" s="77" t="s">
        <v>80</v>
      </c>
      <c r="C25" s="77" t="s">
        <v>80</v>
      </c>
      <c r="D25" s="140" t="s">
        <v>65</v>
      </c>
      <c r="E25" s="141" t="s">
        <v>6</v>
      </c>
      <c r="F25" s="141" t="s">
        <v>9</v>
      </c>
      <c r="G25" s="141" t="s">
        <v>160</v>
      </c>
      <c r="H25" s="141"/>
      <c r="I25" s="122">
        <f>I26</f>
        <v>0</v>
      </c>
      <c r="J25" s="134"/>
      <c r="K25" s="139">
        <f>K26</f>
        <v>0</v>
      </c>
      <c r="L25" s="135" t="e">
        <f t="shared" si="0"/>
        <v>#DIV/0!</v>
      </c>
    </row>
    <row r="26" spans="1:12" ht="24" hidden="1">
      <c r="A26" s="76" t="s">
        <v>101</v>
      </c>
      <c r="B26" s="77"/>
      <c r="C26" s="77"/>
      <c r="D26" s="140" t="s">
        <v>65</v>
      </c>
      <c r="E26" s="141" t="s">
        <v>6</v>
      </c>
      <c r="F26" s="141" t="s">
        <v>9</v>
      </c>
      <c r="G26" s="141" t="s">
        <v>160</v>
      </c>
      <c r="H26" s="141" t="s">
        <v>100</v>
      </c>
      <c r="I26" s="122"/>
      <c r="J26" s="134"/>
      <c r="K26" s="139"/>
      <c r="L26" s="135" t="e">
        <f t="shared" si="0"/>
        <v>#DIV/0!</v>
      </c>
    </row>
    <row r="27" spans="1:12" ht="12" hidden="1">
      <c r="A27" s="78" t="s">
        <v>120</v>
      </c>
      <c r="B27" s="77"/>
      <c r="C27" s="77"/>
      <c r="D27" s="140" t="s">
        <v>65</v>
      </c>
      <c r="E27" s="141" t="s">
        <v>6</v>
      </c>
      <c r="F27" s="141" t="s">
        <v>9</v>
      </c>
      <c r="G27" s="141" t="s">
        <v>211</v>
      </c>
      <c r="H27" s="141"/>
      <c r="I27" s="122">
        <f>I28</f>
        <v>0</v>
      </c>
      <c r="J27" s="134"/>
      <c r="K27" s="139">
        <f>K28</f>
        <v>0</v>
      </c>
      <c r="L27" s="135" t="e">
        <f t="shared" si="0"/>
        <v>#DIV/0!</v>
      </c>
    </row>
    <row r="28" spans="1:12" ht="24" hidden="1">
      <c r="A28" s="78" t="s">
        <v>84</v>
      </c>
      <c r="B28" s="77"/>
      <c r="C28" s="77"/>
      <c r="D28" s="140" t="s">
        <v>65</v>
      </c>
      <c r="E28" s="141" t="s">
        <v>6</v>
      </c>
      <c r="F28" s="141" t="s">
        <v>9</v>
      </c>
      <c r="G28" s="141" t="s">
        <v>211</v>
      </c>
      <c r="H28" s="141" t="s">
        <v>100</v>
      </c>
      <c r="I28" s="122"/>
      <c r="J28" s="134"/>
      <c r="K28" s="139"/>
      <c r="L28" s="135" t="e">
        <f t="shared" si="0"/>
        <v>#DIV/0!</v>
      </c>
    </row>
    <row r="29" spans="1:12" ht="36" hidden="1">
      <c r="A29" s="76" t="s">
        <v>141</v>
      </c>
      <c r="B29" s="77"/>
      <c r="C29" s="77"/>
      <c r="D29" s="140" t="s">
        <v>65</v>
      </c>
      <c r="E29" s="141" t="s">
        <v>6</v>
      </c>
      <c r="F29" s="141" t="s">
        <v>9</v>
      </c>
      <c r="G29" s="141" t="s">
        <v>211</v>
      </c>
      <c r="H29" s="141" t="s">
        <v>105</v>
      </c>
      <c r="I29" s="122"/>
      <c r="J29" s="134"/>
      <c r="K29" s="139"/>
      <c r="L29" s="135" t="e">
        <f t="shared" si="0"/>
        <v>#DIV/0!</v>
      </c>
    </row>
    <row r="30" spans="1:12" ht="36">
      <c r="A30" s="74" t="s">
        <v>56</v>
      </c>
      <c r="B30" s="75" t="s">
        <v>80</v>
      </c>
      <c r="C30" s="75" t="s">
        <v>80</v>
      </c>
      <c r="D30" s="138" t="s">
        <v>65</v>
      </c>
      <c r="E30" s="133" t="s">
        <v>6</v>
      </c>
      <c r="F30" s="133" t="s">
        <v>11</v>
      </c>
      <c r="G30" s="133"/>
      <c r="H30" s="133"/>
      <c r="I30" s="121">
        <f>I38+I44+I50+I31</f>
        <v>7907.91726</v>
      </c>
      <c r="J30" s="134"/>
      <c r="K30" s="135">
        <f>K38+K44+K50+K31</f>
        <v>4999.52668</v>
      </c>
      <c r="L30" s="135">
        <f t="shared" si="0"/>
        <v>63.2217879325662</v>
      </c>
    </row>
    <row r="31" spans="1:12" ht="24" hidden="1">
      <c r="A31" s="79" t="s">
        <v>269</v>
      </c>
      <c r="B31" s="75"/>
      <c r="C31" s="75"/>
      <c r="D31" s="140" t="s">
        <v>65</v>
      </c>
      <c r="E31" s="141" t="s">
        <v>6</v>
      </c>
      <c r="F31" s="141" t="s">
        <v>11</v>
      </c>
      <c r="G31" s="141" t="s">
        <v>271</v>
      </c>
      <c r="H31" s="141"/>
      <c r="I31" s="122">
        <f>I32+I35</f>
        <v>0</v>
      </c>
      <c r="J31" s="134"/>
      <c r="K31" s="139">
        <f>K32+K35</f>
        <v>0</v>
      </c>
      <c r="L31" s="135" t="e">
        <f t="shared" si="0"/>
        <v>#DIV/0!</v>
      </c>
    </row>
    <row r="32" spans="1:12" ht="12" hidden="1">
      <c r="A32" s="80" t="s">
        <v>229</v>
      </c>
      <c r="B32" s="75"/>
      <c r="C32" s="75"/>
      <c r="D32" s="140" t="s">
        <v>65</v>
      </c>
      <c r="E32" s="141" t="s">
        <v>6</v>
      </c>
      <c r="F32" s="141" t="s">
        <v>11</v>
      </c>
      <c r="G32" s="141" t="s">
        <v>271</v>
      </c>
      <c r="H32" s="141" t="s">
        <v>100</v>
      </c>
      <c r="I32" s="122">
        <v>0</v>
      </c>
      <c r="J32" s="134"/>
      <c r="K32" s="139">
        <v>0</v>
      </c>
      <c r="L32" s="135" t="e">
        <f t="shared" si="0"/>
        <v>#DIV/0!</v>
      </c>
    </row>
    <row r="33" spans="1:12" ht="24" hidden="1">
      <c r="A33" s="80" t="s">
        <v>162</v>
      </c>
      <c r="B33" s="75"/>
      <c r="C33" s="75"/>
      <c r="D33" s="140" t="s">
        <v>65</v>
      </c>
      <c r="E33" s="141" t="s">
        <v>6</v>
      </c>
      <c r="F33" s="141" t="s">
        <v>11</v>
      </c>
      <c r="G33" s="141" t="s">
        <v>165</v>
      </c>
      <c r="H33" s="141" t="s">
        <v>166</v>
      </c>
      <c r="I33" s="121">
        <f>I34</f>
        <v>0</v>
      </c>
      <c r="J33" s="134"/>
      <c r="K33" s="139">
        <f>K34</f>
        <v>0</v>
      </c>
      <c r="L33" s="135" t="e">
        <f t="shared" si="0"/>
        <v>#DIV/0!</v>
      </c>
    </row>
    <row r="34" spans="1:12" ht="24" hidden="1">
      <c r="A34" s="80" t="s">
        <v>163</v>
      </c>
      <c r="B34" s="75"/>
      <c r="C34" s="75"/>
      <c r="D34" s="140" t="s">
        <v>65</v>
      </c>
      <c r="E34" s="141" t="s">
        <v>6</v>
      </c>
      <c r="F34" s="141" t="s">
        <v>11</v>
      </c>
      <c r="G34" s="141" t="s">
        <v>165</v>
      </c>
      <c r="H34" s="141" t="s">
        <v>109</v>
      </c>
      <c r="I34" s="122">
        <f>(90000-90000)/1000</f>
        <v>0</v>
      </c>
      <c r="J34" s="134"/>
      <c r="K34" s="139">
        <f>(90000-90000)/1000</f>
        <v>0</v>
      </c>
      <c r="L34" s="135" t="e">
        <f t="shared" si="0"/>
        <v>#DIV/0!</v>
      </c>
    </row>
    <row r="35" spans="1:12" ht="24" hidden="1">
      <c r="A35" s="81" t="s">
        <v>177</v>
      </c>
      <c r="B35" s="75"/>
      <c r="C35" s="75"/>
      <c r="D35" s="140" t="s">
        <v>65</v>
      </c>
      <c r="E35" s="141" t="s">
        <v>6</v>
      </c>
      <c r="F35" s="141" t="s">
        <v>11</v>
      </c>
      <c r="G35" s="141" t="s">
        <v>167</v>
      </c>
      <c r="H35" s="141"/>
      <c r="I35" s="122">
        <f>I36</f>
        <v>0</v>
      </c>
      <c r="J35" s="134"/>
      <c r="K35" s="139">
        <f>K36</f>
        <v>0</v>
      </c>
      <c r="L35" s="135" t="e">
        <f t="shared" si="0"/>
        <v>#DIV/0!</v>
      </c>
    </row>
    <row r="36" spans="1:12" ht="24" hidden="1">
      <c r="A36" s="80" t="s">
        <v>227</v>
      </c>
      <c r="B36" s="75"/>
      <c r="C36" s="75"/>
      <c r="D36" s="140" t="s">
        <v>65</v>
      </c>
      <c r="E36" s="141" t="s">
        <v>6</v>
      </c>
      <c r="F36" s="141" t="s">
        <v>11</v>
      </c>
      <c r="G36" s="141" t="s">
        <v>167</v>
      </c>
      <c r="H36" s="141" t="s">
        <v>166</v>
      </c>
      <c r="I36" s="122">
        <f>I37</f>
        <v>0</v>
      </c>
      <c r="J36" s="134"/>
      <c r="K36" s="139">
        <f>K37</f>
        <v>0</v>
      </c>
      <c r="L36" s="135" t="e">
        <f t="shared" si="0"/>
        <v>#DIV/0!</v>
      </c>
    </row>
    <row r="37" spans="1:12" ht="24" hidden="1">
      <c r="A37" s="80" t="s">
        <v>163</v>
      </c>
      <c r="B37" s="75"/>
      <c r="C37" s="75"/>
      <c r="D37" s="140" t="s">
        <v>65</v>
      </c>
      <c r="E37" s="141" t="s">
        <v>6</v>
      </c>
      <c r="F37" s="141" t="s">
        <v>11</v>
      </c>
      <c r="G37" s="141" t="s">
        <v>167</v>
      </c>
      <c r="H37" s="141" t="s">
        <v>109</v>
      </c>
      <c r="I37" s="122"/>
      <c r="J37" s="134"/>
      <c r="K37" s="139"/>
      <c r="L37" s="135" t="e">
        <f t="shared" si="0"/>
        <v>#DIV/0!</v>
      </c>
    </row>
    <row r="38" spans="1:12" ht="24">
      <c r="A38" s="78" t="s">
        <v>84</v>
      </c>
      <c r="B38" s="75"/>
      <c r="C38" s="75"/>
      <c r="D38" s="140" t="s">
        <v>65</v>
      </c>
      <c r="E38" s="141" t="s">
        <v>6</v>
      </c>
      <c r="F38" s="141" t="s">
        <v>11</v>
      </c>
      <c r="G38" s="141" t="s">
        <v>171</v>
      </c>
      <c r="H38" s="141"/>
      <c r="I38" s="122">
        <f>I39+I40+I47</f>
        <v>7832.91726</v>
      </c>
      <c r="J38" s="134"/>
      <c r="K38" s="139">
        <f>K39+K40+K47</f>
        <v>4943.29668</v>
      </c>
      <c r="L38" s="135">
        <f t="shared" si="0"/>
        <v>63.10926715955123</v>
      </c>
    </row>
    <row r="39" spans="1:12" ht="12">
      <c r="A39" s="80" t="s">
        <v>229</v>
      </c>
      <c r="B39" s="75"/>
      <c r="C39" s="75"/>
      <c r="D39" s="140" t="s">
        <v>65</v>
      </c>
      <c r="E39" s="141" t="s">
        <v>6</v>
      </c>
      <c r="F39" s="141" t="s">
        <v>11</v>
      </c>
      <c r="G39" s="141" t="s">
        <v>171</v>
      </c>
      <c r="H39" s="141" t="s">
        <v>100</v>
      </c>
      <c r="I39" s="122">
        <f>6568654.92/1000</f>
        <v>6568.65492</v>
      </c>
      <c r="J39" s="134"/>
      <c r="K39" s="139">
        <f>4158655.77/1000</f>
        <v>4158.65577</v>
      </c>
      <c r="L39" s="135">
        <f t="shared" si="0"/>
        <v>63.31061413102822</v>
      </c>
    </row>
    <row r="40" spans="1:12" ht="24">
      <c r="A40" s="82" t="s">
        <v>227</v>
      </c>
      <c r="B40" s="77" t="s">
        <v>80</v>
      </c>
      <c r="C40" s="77" t="s">
        <v>80</v>
      </c>
      <c r="D40" s="140" t="s">
        <v>65</v>
      </c>
      <c r="E40" s="141" t="s">
        <v>6</v>
      </c>
      <c r="F40" s="141" t="s">
        <v>11</v>
      </c>
      <c r="G40" s="141" t="s">
        <v>171</v>
      </c>
      <c r="H40" s="141" t="s">
        <v>166</v>
      </c>
      <c r="I40" s="122">
        <f>I41</f>
        <v>960.94438</v>
      </c>
      <c r="J40" s="134"/>
      <c r="K40" s="139">
        <f>K41</f>
        <v>644.34984</v>
      </c>
      <c r="L40" s="135">
        <f t="shared" si="0"/>
        <v>67.05381220919362</v>
      </c>
    </row>
    <row r="41" spans="1:12" ht="24">
      <c r="A41" s="80" t="s">
        <v>163</v>
      </c>
      <c r="B41" s="77" t="s">
        <v>80</v>
      </c>
      <c r="C41" s="77" t="s">
        <v>80</v>
      </c>
      <c r="D41" s="140" t="s">
        <v>65</v>
      </c>
      <c r="E41" s="141" t="s">
        <v>6</v>
      </c>
      <c r="F41" s="141" t="s">
        <v>11</v>
      </c>
      <c r="G41" s="141" t="s">
        <v>171</v>
      </c>
      <c r="H41" s="141" t="s">
        <v>109</v>
      </c>
      <c r="I41" s="122">
        <f>960944.38/1000</f>
        <v>960.94438</v>
      </c>
      <c r="J41" s="134"/>
      <c r="K41" s="139">
        <f>644349.84/1000</f>
        <v>644.34984</v>
      </c>
      <c r="L41" s="135">
        <f t="shared" si="0"/>
        <v>67.05381220919362</v>
      </c>
    </row>
    <row r="42" spans="1:12" ht="24" hidden="1">
      <c r="A42" s="80" t="s">
        <v>235</v>
      </c>
      <c r="B42" s="77"/>
      <c r="C42" s="77"/>
      <c r="D42" s="140" t="s">
        <v>65</v>
      </c>
      <c r="E42" s="141" t="s">
        <v>6</v>
      </c>
      <c r="F42" s="141" t="s">
        <v>11</v>
      </c>
      <c r="G42" s="141" t="s">
        <v>171</v>
      </c>
      <c r="H42" s="141" t="s">
        <v>234</v>
      </c>
      <c r="I42" s="122"/>
      <c r="J42" s="134"/>
      <c r="K42" s="139"/>
      <c r="L42" s="135" t="e">
        <f t="shared" si="0"/>
        <v>#DIV/0!</v>
      </c>
    </row>
    <row r="43" spans="1:12" ht="24" hidden="1">
      <c r="A43" s="80" t="s">
        <v>236</v>
      </c>
      <c r="B43" s="77"/>
      <c r="C43" s="77"/>
      <c r="D43" s="140" t="s">
        <v>65</v>
      </c>
      <c r="E43" s="141" t="s">
        <v>6</v>
      </c>
      <c r="F43" s="141" t="s">
        <v>11</v>
      </c>
      <c r="G43" s="141" t="s">
        <v>171</v>
      </c>
      <c r="H43" s="141" t="s">
        <v>233</v>
      </c>
      <c r="I43" s="122"/>
      <c r="J43" s="134"/>
      <c r="K43" s="139"/>
      <c r="L43" s="135" t="e">
        <f t="shared" si="0"/>
        <v>#DIV/0!</v>
      </c>
    </row>
    <row r="44" spans="1:12" ht="12" hidden="1">
      <c r="A44" s="80" t="s">
        <v>260</v>
      </c>
      <c r="B44" s="77"/>
      <c r="C44" s="77"/>
      <c r="D44" s="140" t="s">
        <v>65</v>
      </c>
      <c r="E44" s="141" t="s">
        <v>6</v>
      </c>
      <c r="F44" s="141" t="s">
        <v>11</v>
      </c>
      <c r="G44" s="141" t="s">
        <v>259</v>
      </c>
      <c r="H44" s="141"/>
      <c r="I44" s="122">
        <f>I45</f>
        <v>0</v>
      </c>
      <c r="J44" s="134"/>
      <c r="K44" s="139">
        <f>K45</f>
        <v>0</v>
      </c>
      <c r="L44" s="135" t="e">
        <f t="shared" si="0"/>
        <v>#DIV/0!</v>
      </c>
    </row>
    <row r="45" spans="1:12" ht="24" hidden="1">
      <c r="A45" s="82" t="s">
        <v>227</v>
      </c>
      <c r="B45" s="77"/>
      <c r="C45" s="77"/>
      <c r="D45" s="140" t="s">
        <v>65</v>
      </c>
      <c r="E45" s="141" t="s">
        <v>6</v>
      </c>
      <c r="F45" s="141" t="s">
        <v>11</v>
      </c>
      <c r="G45" s="141" t="s">
        <v>259</v>
      </c>
      <c r="H45" s="141" t="s">
        <v>166</v>
      </c>
      <c r="I45" s="122">
        <f>I46</f>
        <v>0</v>
      </c>
      <c r="J45" s="134"/>
      <c r="K45" s="139">
        <f>K46</f>
        <v>0</v>
      </c>
      <c r="L45" s="135" t="e">
        <f t="shared" si="0"/>
        <v>#DIV/0!</v>
      </c>
    </row>
    <row r="46" spans="1:12" ht="24" hidden="1">
      <c r="A46" s="80" t="s">
        <v>163</v>
      </c>
      <c r="B46" s="77"/>
      <c r="C46" s="77"/>
      <c r="D46" s="140" t="s">
        <v>65</v>
      </c>
      <c r="E46" s="141" t="s">
        <v>6</v>
      </c>
      <c r="F46" s="141" t="s">
        <v>11</v>
      </c>
      <c r="G46" s="141" t="s">
        <v>256</v>
      </c>
      <c r="H46" s="141" t="s">
        <v>109</v>
      </c>
      <c r="I46" s="122">
        <v>0</v>
      </c>
      <c r="J46" s="134"/>
      <c r="K46" s="139">
        <v>0</v>
      </c>
      <c r="L46" s="135" t="e">
        <f t="shared" si="0"/>
        <v>#DIV/0!</v>
      </c>
    </row>
    <row r="47" spans="1:12" ht="12">
      <c r="A47" s="83" t="s">
        <v>86</v>
      </c>
      <c r="B47" s="77"/>
      <c r="C47" s="77"/>
      <c r="D47" s="140" t="s">
        <v>65</v>
      </c>
      <c r="E47" s="141" t="s">
        <v>6</v>
      </c>
      <c r="F47" s="141" t="s">
        <v>11</v>
      </c>
      <c r="G47" s="141" t="s">
        <v>171</v>
      </c>
      <c r="H47" s="141" t="s">
        <v>87</v>
      </c>
      <c r="I47" s="122">
        <f>I49+I48</f>
        <v>303.31795999999997</v>
      </c>
      <c r="J47" s="134"/>
      <c r="K47" s="139">
        <f>K49+K48</f>
        <v>140.29107</v>
      </c>
      <c r="L47" s="135">
        <f t="shared" si="0"/>
        <v>46.25214741652621</v>
      </c>
    </row>
    <row r="48" spans="1:12" ht="12">
      <c r="A48" s="83" t="s">
        <v>214</v>
      </c>
      <c r="B48" s="77"/>
      <c r="C48" s="77"/>
      <c r="D48" s="140" t="s">
        <v>65</v>
      </c>
      <c r="E48" s="141" t="s">
        <v>6</v>
      </c>
      <c r="F48" s="141" t="s">
        <v>11</v>
      </c>
      <c r="G48" s="141" t="s">
        <v>171</v>
      </c>
      <c r="H48" s="141" t="s">
        <v>213</v>
      </c>
      <c r="I48" s="122">
        <f>25000/1000</f>
        <v>25</v>
      </c>
      <c r="J48" s="134"/>
      <c r="K48" s="139">
        <f>10327.35/1000</f>
        <v>10.327350000000001</v>
      </c>
      <c r="L48" s="135">
        <f t="shared" si="0"/>
        <v>41.309400000000004</v>
      </c>
    </row>
    <row r="49" spans="1:12" ht="12">
      <c r="A49" s="83" t="s">
        <v>112</v>
      </c>
      <c r="B49" s="77"/>
      <c r="C49" s="77"/>
      <c r="D49" s="140" t="s">
        <v>65</v>
      </c>
      <c r="E49" s="141" t="s">
        <v>6</v>
      </c>
      <c r="F49" s="141" t="s">
        <v>11</v>
      </c>
      <c r="G49" s="141" t="s">
        <v>171</v>
      </c>
      <c r="H49" s="141" t="s">
        <v>113</v>
      </c>
      <c r="I49" s="122">
        <f>86.88+1.12+190.31796</f>
        <v>278.31795999999997</v>
      </c>
      <c r="J49" s="134"/>
      <c r="K49" s="139">
        <f>129963.72/1000</f>
        <v>129.96372</v>
      </c>
      <c r="L49" s="135">
        <f t="shared" si="0"/>
        <v>46.69613128811378</v>
      </c>
    </row>
    <row r="50" spans="1:12" ht="24">
      <c r="A50" s="76" t="s">
        <v>142</v>
      </c>
      <c r="B50" s="77" t="s">
        <v>65</v>
      </c>
      <c r="C50" s="77" t="s">
        <v>6</v>
      </c>
      <c r="D50" s="140" t="s">
        <v>65</v>
      </c>
      <c r="E50" s="141" t="s">
        <v>6</v>
      </c>
      <c r="F50" s="141" t="s">
        <v>11</v>
      </c>
      <c r="G50" s="141" t="s">
        <v>217</v>
      </c>
      <c r="H50" s="141"/>
      <c r="I50" s="122">
        <f>I51</f>
        <v>75</v>
      </c>
      <c r="J50" s="134"/>
      <c r="K50" s="142">
        <f>K51</f>
        <v>56.23</v>
      </c>
      <c r="L50" s="135">
        <f t="shared" si="0"/>
        <v>74.97333333333333</v>
      </c>
    </row>
    <row r="51" spans="1:12" ht="24">
      <c r="A51" s="80" t="s">
        <v>227</v>
      </c>
      <c r="B51" s="77" t="s">
        <v>65</v>
      </c>
      <c r="C51" s="77" t="s">
        <v>6</v>
      </c>
      <c r="D51" s="140" t="s">
        <v>65</v>
      </c>
      <c r="E51" s="141" t="s">
        <v>6</v>
      </c>
      <c r="F51" s="141" t="s">
        <v>11</v>
      </c>
      <c r="G51" s="141" t="s">
        <v>217</v>
      </c>
      <c r="H51" s="141" t="s">
        <v>166</v>
      </c>
      <c r="I51" s="122">
        <f>I52</f>
        <v>75</v>
      </c>
      <c r="J51" s="134"/>
      <c r="K51" s="142">
        <f>K52</f>
        <v>56.23</v>
      </c>
      <c r="L51" s="135">
        <f t="shared" si="0"/>
        <v>74.97333333333333</v>
      </c>
    </row>
    <row r="52" spans="1:12" ht="24">
      <c r="A52" s="76" t="s">
        <v>108</v>
      </c>
      <c r="B52" s="77" t="s">
        <v>65</v>
      </c>
      <c r="C52" s="77" t="s">
        <v>6</v>
      </c>
      <c r="D52" s="140" t="s">
        <v>65</v>
      </c>
      <c r="E52" s="141" t="s">
        <v>6</v>
      </c>
      <c r="F52" s="141" t="s">
        <v>11</v>
      </c>
      <c r="G52" s="141" t="s">
        <v>217</v>
      </c>
      <c r="H52" s="141" t="s">
        <v>109</v>
      </c>
      <c r="I52" s="122">
        <f>75000/1000</f>
        <v>75</v>
      </c>
      <c r="J52" s="134"/>
      <c r="K52" s="142">
        <f>56230/1000</f>
        <v>56.23</v>
      </c>
      <c r="L52" s="135">
        <f t="shared" si="0"/>
        <v>74.97333333333333</v>
      </c>
    </row>
    <row r="53" spans="1:12" ht="12" hidden="1">
      <c r="A53" s="74" t="s">
        <v>14</v>
      </c>
      <c r="B53" s="75"/>
      <c r="C53" s="75"/>
      <c r="D53" s="138" t="s">
        <v>65</v>
      </c>
      <c r="E53" s="133" t="s">
        <v>6</v>
      </c>
      <c r="F53" s="133" t="s">
        <v>15</v>
      </c>
      <c r="G53" s="133"/>
      <c r="H53" s="133"/>
      <c r="I53" s="121">
        <f>I54</f>
        <v>0</v>
      </c>
      <c r="J53" s="134"/>
      <c r="K53" s="142">
        <f>K54</f>
        <v>0</v>
      </c>
      <c r="L53" s="135" t="e">
        <f t="shared" si="0"/>
        <v>#DIV/0!</v>
      </c>
    </row>
    <row r="54" spans="1:12" ht="12" hidden="1">
      <c r="A54" s="84" t="s">
        <v>44</v>
      </c>
      <c r="B54" s="77"/>
      <c r="C54" s="77"/>
      <c r="D54" s="140" t="s">
        <v>65</v>
      </c>
      <c r="E54" s="141" t="s">
        <v>6</v>
      </c>
      <c r="F54" s="141" t="s">
        <v>15</v>
      </c>
      <c r="G54" s="141" t="s">
        <v>114</v>
      </c>
      <c r="H54" s="141"/>
      <c r="I54" s="122">
        <f>I55</f>
        <v>0</v>
      </c>
      <c r="J54" s="134"/>
      <c r="K54" s="142">
        <f>K55</f>
        <v>0</v>
      </c>
      <c r="L54" s="135" t="e">
        <f t="shared" si="0"/>
        <v>#DIV/0!</v>
      </c>
    </row>
    <row r="55" spans="1:12" ht="12" hidden="1">
      <c r="A55" s="78" t="s">
        <v>57</v>
      </c>
      <c r="B55" s="77"/>
      <c r="C55" s="77"/>
      <c r="D55" s="140" t="s">
        <v>65</v>
      </c>
      <c r="E55" s="141" t="s">
        <v>6</v>
      </c>
      <c r="F55" s="141" t="s">
        <v>15</v>
      </c>
      <c r="G55" s="141" t="s">
        <v>115</v>
      </c>
      <c r="H55" s="141"/>
      <c r="I55" s="122">
        <f>I56</f>
        <v>0</v>
      </c>
      <c r="J55" s="134"/>
      <c r="K55" s="142">
        <f>K56</f>
        <v>0</v>
      </c>
      <c r="L55" s="135" t="e">
        <f t="shared" si="0"/>
        <v>#DIV/0!</v>
      </c>
    </row>
    <row r="56" spans="1:12" ht="12" hidden="1">
      <c r="A56" s="78" t="s">
        <v>86</v>
      </c>
      <c r="B56" s="77"/>
      <c r="C56" s="77"/>
      <c r="D56" s="140" t="s">
        <v>65</v>
      </c>
      <c r="E56" s="141" t="s">
        <v>6</v>
      </c>
      <c r="F56" s="141" t="s">
        <v>15</v>
      </c>
      <c r="G56" s="141" t="s">
        <v>136</v>
      </c>
      <c r="H56" s="141" t="s">
        <v>87</v>
      </c>
      <c r="I56" s="122"/>
      <c r="J56" s="134"/>
      <c r="K56" s="142"/>
      <c r="L56" s="135" t="e">
        <f t="shared" si="0"/>
        <v>#DIV/0!</v>
      </c>
    </row>
    <row r="57" spans="1:12" ht="12" hidden="1">
      <c r="A57" s="78" t="s">
        <v>116</v>
      </c>
      <c r="B57" s="77"/>
      <c r="C57" s="77"/>
      <c r="D57" s="140" t="s">
        <v>65</v>
      </c>
      <c r="E57" s="141" t="s">
        <v>6</v>
      </c>
      <c r="F57" s="141" t="s">
        <v>15</v>
      </c>
      <c r="G57" s="141" t="s">
        <v>136</v>
      </c>
      <c r="H57" s="141" t="s">
        <v>117</v>
      </c>
      <c r="I57" s="122"/>
      <c r="J57" s="134"/>
      <c r="K57" s="142"/>
      <c r="L57" s="135" t="e">
        <f t="shared" si="0"/>
        <v>#DIV/0!</v>
      </c>
    </row>
    <row r="58" spans="1:12" ht="24">
      <c r="A58" s="85" t="s">
        <v>168</v>
      </c>
      <c r="B58" s="77"/>
      <c r="C58" s="77"/>
      <c r="D58" s="138" t="s">
        <v>65</v>
      </c>
      <c r="E58" s="133" t="s">
        <v>6</v>
      </c>
      <c r="F58" s="133" t="s">
        <v>13</v>
      </c>
      <c r="G58" s="141"/>
      <c r="H58" s="141"/>
      <c r="I58" s="121">
        <f>I59</f>
        <v>15.3</v>
      </c>
      <c r="J58" s="134"/>
      <c r="K58" s="143">
        <f>K59</f>
        <v>15.3</v>
      </c>
      <c r="L58" s="135">
        <f t="shared" si="0"/>
        <v>100</v>
      </c>
    </row>
    <row r="59" spans="1:12" ht="24">
      <c r="A59" s="80" t="s">
        <v>169</v>
      </c>
      <c r="B59" s="77"/>
      <c r="C59" s="77"/>
      <c r="D59" s="140" t="s">
        <v>65</v>
      </c>
      <c r="E59" s="141" t="s">
        <v>6</v>
      </c>
      <c r="F59" s="141" t="s">
        <v>13</v>
      </c>
      <c r="G59" s="141" t="s">
        <v>170</v>
      </c>
      <c r="H59" s="141"/>
      <c r="I59" s="122">
        <f>I60</f>
        <v>15.3</v>
      </c>
      <c r="J59" s="134"/>
      <c r="K59" s="142">
        <f>K60</f>
        <v>15.3</v>
      </c>
      <c r="L59" s="135">
        <f t="shared" si="0"/>
        <v>100</v>
      </c>
    </row>
    <row r="60" spans="1:12" ht="12">
      <c r="A60" s="86" t="s">
        <v>40</v>
      </c>
      <c r="B60" s="77"/>
      <c r="C60" s="77"/>
      <c r="D60" s="140" t="s">
        <v>65</v>
      </c>
      <c r="E60" s="141" t="s">
        <v>6</v>
      </c>
      <c r="F60" s="141" t="s">
        <v>13</v>
      </c>
      <c r="G60" s="141" t="s">
        <v>170</v>
      </c>
      <c r="H60" s="141" t="s">
        <v>172</v>
      </c>
      <c r="I60" s="122">
        <f>I61</f>
        <v>15.3</v>
      </c>
      <c r="J60" s="134"/>
      <c r="K60" s="142">
        <f>K61</f>
        <v>15.3</v>
      </c>
      <c r="L60" s="135">
        <f t="shared" si="0"/>
        <v>100</v>
      </c>
    </row>
    <row r="61" spans="1:12" ht="12">
      <c r="A61" s="86" t="s">
        <v>226</v>
      </c>
      <c r="B61" s="77"/>
      <c r="C61" s="77"/>
      <c r="D61" s="140" t="s">
        <v>65</v>
      </c>
      <c r="E61" s="141" t="s">
        <v>6</v>
      </c>
      <c r="F61" s="141" t="s">
        <v>13</v>
      </c>
      <c r="G61" s="141" t="s">
        <v>170</v>
      </c>
      <c r="H61" s="141" t="s">
        <v>225</v>
      </c>
      <c r="I61" s="122">
        <f>15300/1000</f>
        <v>15.3</v>
      </c>
      <c r="J61" s="134"/>
      <c r="K61" s="142">
        <v>15.3</v>
      </c>
      <c r="L61" s="135">
        <f t="shared" si="0"/>
        <v>100</v>
      </c>
    </row>
    <row r="62" spans="1:12" ht="12" hidden="1">
      <c r="A62" s="85" t="s">
        <v>14</v>
      </c>
      <c r="B62" s="77"/>
      <c r="C62" s="77"/>
      <c r="D62" s="138" t="s">
        <v>65</v>
      </c>
      <c r="E62" s="133" t="s">
        <v>6</v>
      </c>
      <c r="F62" s="133" t="s">
        <v>15</v>
      </c>
      <c r="G62" s="141"/>
      <c r="H62" s="141"/>
      <c r="I62" s="122">
        <f>I63</f>
        <v>0</v>
      </c>
      <c r="J62" s="134"/>
      <c r="K62" s="142">
        <f>K63</f>
        <v>0</v>
      </c>
      <c r="L62" s="135" t="e">
        <f t="shared" si="0"/>
        <v>#DIV/0!</v>
      </c>
    </row>
    <row r="63" spans="1:12" ht="12" hidden="1">
      <c r="A63" s="80" t="s">
        <v>44</v>
      </c>
      <c r="B63" s="77"/>
      <c r="C63" s="77"/>
      <c r="D63" s="140" t="s">
        <v>65</v>
      </c>
      <c r="E63" s="141" t="s">
        <v>6</v>
      </c>
      <c r="F63" s="141" t="s">
        <v>15</v>
      </c>
      <c r="G63" s="141" t="s">
        <v>173</v>
      </c>
      <c r="H63" s="141"/>
      <c r="I63" s="122">
        <f>I64</f>
        <v>0</v>
      </c>
      <c r="J63" s="134"/>
      <c r="K63" s="142">
        <f>K64</f>
        <v>0</v>
      </c>
      <c r="L63" s="135" t="e">
        <f t="shared" si="0"/>
        <v>#DIV/0!</v>
      </c>
    </row>
    <row r="64" spans="1:12" ht="24" hidden="1">
      <c r="A64" s="80" t="s">
        <v>227</v>
      </c>
      <c r="B64" s="77"/>
      <c r="C64" s="77"/>
      <c r="D64" s="140" t="s">
        <v>65</v>
      </c>
      <c r="E64" s="141" t="s">
        <v>6</v>
      </c>
      <c r="F64" s="141" t="s">
        <v>15</v>
      </c>
      <c r="G64" s="141" t="s">
        <v>173</v>
      </c>
      <c r="H64" s="141" t="s">
        <v>166</v>
      </c>
      <c r="I64" s="122">
        <f>I65</f>
        <v>0</v>
      </c>
      <c r="J64" s="134"/>
      <c r="K64" s="142">
        <f>K65</f>
        <v>0</v>
      </c>
      <c r="L64" s="135" t="e">
        <f t="shared" si="0"/>
        <v>#DIV/0!</v>
      </c>
    </row>
    <row r="65" spans="1:12" ht="24" hidden="1">
      <c r="A65" s="76" t="s">
        <v>108</v>
      </c>
      <c r="B65" s="77"/>
      <c r="C65" s="77"/>
      <c r="D65" s="140" t="s">
        <v>65</v>
      </c>
      <c r="E65" s="141" t="s">
        <v>6</v>
      </c>
      <c r="F65" s="141" t="s">
        <v>15</v>
      </c>
      <c r="G65" s="141" t="s">
        <v>173</v>
      </c>
      <c r="H65" s="141" t="s">
        <v>109</v>
      </c>
      <c r="I65" s="122">
        <v>0</v>
      </c>
      <c r="J65" s="134"/>
      <c r="K65" s="142">
        <v>0</v>
      </c>
      <c r="L65" s="135" t="e">
        <f t="shared" si="0"/>
        <v>#DIV/0!</v>
      </c>
    </row>
    <row r="66" spans="1:12" ht="12">
      <c r="A66" s="74" t="s">
        <v>17</v>
      </c>
      <c r="B66" s="77" t="s">
        <v>6</v>
      </c>
      <c r="C66" s="77" t="s">
        <v>45</v>
      </c>
      <c r="D66" s="138" t="s">
        <v>65</v>
      </c>
      <c r="E66" s="133" t="s">
        <v>6</v>
      </c>
      <c r="F66" s="133" t="s">
        <v>70</v>
      </c>
      <c r="G66" s="133"/>
      <c r="H66" s="133"/>
      <c r="I66" s="121">
        <f>I67</f>
        <v>50</v>
      </c>
      <c r="J66" s="134"/>
      <c r="K66" s="142">
        <f>K67</f>
        <v>0</v>
      </c>
      <c r="L66" s="135">
        <f t="shared" si="0"/>
        <v>0</v>
      </c>
    </row>
    <row r="67" spans="1:12" ht="12">
      <c r="A67" s="76" t="s">
        <v>17</v>
      </c>
      <c r="B67" s="77" t="s">
        <v>6</v>
      </c>
      <c r="C67" s="77" t="s">
        <v>45</v>
      </c>
      <c r="D67" s="140" t="s">
        <v>65</v>
      </c>
      <c r="E67" s="141" t="s">
        <v>6</v>
      </c>
      <c r="F67" s="141" t="s">
        <v>70</v>
      </c>
      <c r="G67" s="141" t="s">
        <v>175</v>
      </c>
      <c r="H67" s="141"/>
      <c r="I67" s="122">
        <f>I68</f>
        <v>50</v>
      </c>
      <c r="J67" s="134"/>
      <c r="K67" s="142">
        <f>K68</f>
        <v>0</v>
      </c>
      <c r="L67" s="135">
        <f t="shared" si="0"/>
        <v>0</v>
      </c>
    </row>
    <row r="68" spans="1:12" ht="12">
      <c r="A68" s="87" t="s">
        <v>174</v>
      </c>
      <c r="B68" s="77" t="s">
        <v>6</v>
      </c>
      <c r="C68" s="77" t="s">
        <v>45</v>
      </c>
      <c r="D68" s="140" t="s">
        <v>65</v>
      </c>
      <c r="E68" s="141" t="s">
        <v>6</v>
      </c>
      <c r="F68" s="141" t="s">
        <v>70</v>
      </c>
      <c r="G68" s="141" t="s">
        <v>175</v>
      </c>
      <c r="H68" s="141"/>
      <c r="I68" s="122">
        <f>I69</f>
        <v>50</v>
      </c>
      <c r="J68" s="134"/>
      <c r="K68" s="142">
        <f>K69</f>
        <v>0</v>
      </c>
      <c r="L68" s="135">
        <f t="shared" si="0"/>
        <v>0</v>
      </c>
    </row>
    <row r="69" spans="1:12" ht="12">
      <c r="A69" s="76" t="s">
        <v>86</v>
      </c>
      <c r="B69" s="77"/>
      <c r="C69" s="77"/>
      <c r="D69" s="140" t="s">
        <v>65</v>
      </c>
      <c r="E69" s="141" t="s">
        <v>6</v>
      </c>
      <c r="F69" s="141" t="s">
        <v>70</v>
      </c>
      <c r="G69" s="141" t="s">
        <v>175</v>
      </c>
      <c r="H69" s="141" t="s">
        <v>87</v>
      </c>
      <c r="I69" s="122">
        <f>I70</f>
        <v>50</v>
      </c>
      <c r="J69" s="134"/>
      <c r="K69" s="142">
        <f>K70</f>
        <v>0</v>
      </c>
      <c r="L69" s="135">
        <f t="shared" si="0"/>
        <v>0</v>
      </c>
    </row>
    <row r="70" spans="1:12" ht="12">
      <c r="A70" s="76" t="s">
        <v>118</v>
      </c>
      <c r="B70" s="77"/>
      <c r="C70" s="77"/>
      <c r="D70" s="140" t="s">
        <v>65</v>
      </c>
      <c r="E70" s="141" t="s">
        <v>6</v>
      </c>
      <c r="F70" s="141" t="s">
        <v>70</v>
      </c>
      <c r="G70" s="141" t="s">
        <v>175</v>
      </c>
      <c r="H70" s="141" t="s">
        <v>119</v>
      </c>
      <c r="I70" s="122">
        <f>50000/1000</f>
        <v>50</v>
      </c>
      <c r="J70" s="134"/>
      <c r="K70" s="142">
        <v>0</v>
      </c>
      <c r="L70" s="135">
        <f t="shared" si="0"/>
        <v>0</v>
      </c>
    </row>
    <row r="71" spans="1:12" ht="12">
      <c r="A71" s="74" t="s">
        <v>18</v>
      </c>
      <c r="B71" s="75"/>
      <c r="C71" s="75"/>
      <c r="D71" s="138" t="s">
        <v>65</v>
      </c>
      <c r="E71" s="133" t="s">
        <v>6</v>
      </c>
      <c r="F71" s="133" t="s">
        <v>71</v>
      </c>
      <c r="G71" s="133"/>
      <c r="H71" s="133"/>
      <c r="I71" s="121">
        <f>I72+I76+I83</f>
        <v>446.76</v>
      </c>
      <c r="J71" s="134"/>
      <c r="K71" s="135">
        <f>K72+K76+K83</f>
        <v>263.44</v>
      </c>
      <c r="L71" s="135">
        <f t="shared" si="0"/>
        <v>58.96678306025607</v>
      </c>
    </row>
    <row r="72" spans="1:12" ht="12">
      <c r="A72" s="76" t="s">
        <v>85</v>
      </c>
      <c r="B72" s="77"/>
      <c r="C72" s="77"/>
      <c r="D72" s="140" t="s">
        <v>65</v>
      </c>
      <c r="E72" s="141" t="s">
        <v>6</v>
      </c>
      <c r="F72" s="141" t="s">
        <v>71</v>
      </c>
      <c r="G72" s="141" t="s">
        <v>178</v>
      </c>
      <c r="H72" s="141"/>
      <c r="I72" s="122">
        <f>I73</f>
        <v>259.2</v>
      </c>
      <c r="J72" s="134"/>
      <c r="K72" s="139">
        <f>K73</f>
        <v>75.88</v>
      </c>
      <c r="L72" s="135">
        <f t="shared" si="0"/>
        <v>29.27469135802469</v>
      </c>
    </row>
    <row r="73" spans="1:12" ht="24">
      <c r="A73" s="76" t="s">
        <v>179</v>
      </c>
      <c r="B73" s="77"/>
      <c r="C73" s="77"/>
      <c r="D73" s="140" t="s">
        <v>65</v>
      </c>
      <c r="E73" s="141" t="s">
        <v>6</v>
      </c>
      <c r="F73" s="141" t="s">
        <v>71</v>
      </c>
      <c r="G73" s="141" t="s">
        <v>178</v>
      </c>
      <c r="H73" s="141"/>
      <c r="I73" s="122">
        <f>I74</f>
        <v>259.2</v>
      </c>
      <c r="J73" s="134"/>
      <c r="K73" s="139">
        <f>K74</f>
        <v>75.88</v>
      </c>
      <c r="L73" s="135">
        <f t="shared" si="0"/>
        <v>29.27469135802469</v>
      </c>
    </row>
    <row r="74" spans="1:12" ht="24">
      <c r="A74" s="80" t="s">
        <v>227</v>
      </c>
      <c r="B74" s="77"/>
      <c r="C74" s="77"/>
      <c r="D74" s="140" t="s">
        <v>65</v>
      </c>
      <c r="E74" s="141" t="s">
        <v>6</v>
      </c>
      <c r="F74" s="141" t="s">
        <v>71</v>
      </c>
      <c r="G74" s="141" t="s">
        <v>178</v>
      </c>
      <c r="H74" s="141" t="s">
        <v>166</v>
      </c>
      <c r="I74" s="122">
        <f>I75</f>
        <v>259.2</v>
      </c>
      <c r="J74" s="134"/>
      <c r="K74" s="139">
        <f>K75</f>
        <v>75.88</v>
      </c>
      <c r="L74" s="135">
        <f t="shared" si="0"/>
        <v>29.27469135802469</v>
      </c>
    </row>
    <row r="75" spans="1:12" ht="24">
      <c r="A75" s="78" t="s">
        <v>108</v>
      </c>
      <c r="B75" s="77"/>
      <c r="C75" s="77"/>
      <c r="D75" s="140" t="s">
        <v>65</v>
      </c>
      <c r="E75" s="141" t="s">
        <v>6</v>
      </c>
      <c r="F75" s="141" t="s">
        <v>71</v>
      </c>
      <c r="G75" s="141" t="s">
        <v>178</v>
      </c>
      <c r="H75" s="141" t="s">
        <v>109</v>
      </c>
      <c r="I75" s="122">
        <f>259200/1000</f>
        <v>259.2</v>
      </c>
      <c r="J75" s="134"/>
      <c r="K75" s="139">
        <f>75880/1000</f>
        <v>75.88</v>
      </c>
      <c r="L75" s="135">
        <f t="shared" si="0"/>
        <v>29.27469135802469</v>
      </c>
    </row>
    <row r="76" spans="1:12" ht="12">
      <c r="A76" s="78" t="s">
        <v>294</v>
      </c>
      <c r="B76" s="77"/>
      <c r="C76" s="77"/>
      <c r="D76" s="140" t="s">
        <v>65</v>
      </c>
      <c r="E76" s="141" t="s">
        <v>6</v>
      </c>
      <c r="F76" s="141" t="s">
        <v>71</v>
      </c>
      <c r="G76" s="141" t="s">
        <v>295</v>
      </c>
      <c r="H76" s="141"/>
      <c r="I76" s="122">
        <f>I77+I80</f>
        <v>187.56</v>
      </c>
      <c r="J76" s="134"/>
      <c r="K76" s="139">
        <f>K77+K80</f>
        <v>187.56</v>
      </c>
      <c r="L76" s="135">
        <f t="shared" si="0"/>
        <v>100</v>
      </c>
    </row>
    <row r="77" spans="1:12" ht="24">
      <c r="A77" s="80" t="s">
        <v>227</v>
      </c>
      <c r="B77" s="77"/>
      <c r="C77" s="77"/>
      <c r="D77" s="140" t="s">
        <v>65</v>
      </c>
      <c r="E77" s="141" t="s">
        <v>6</v>
      </c>
      <c r="F77" s="141" t="s">
        <v>71</v>
      </c>
      <c r="G77" s="141" t="s">
        <v>295</v>
      </c>
      <c r="H77" s="141" t="s">
        <v>166</v>
      </c>
      <c r="I77" s="122">
        <f>I78</f>
        <v>187.56</v>
      </c>
      <c r="J77" s="134"/>
      <c r="K77" s="139">
        <f>K78</f>
        <v>187.56</v>
      </c>
      <c r="L77" s="135">
        <f t="shared" si="0"/>
        <v>100</v>
      </c>
    </row>
    <row r="78" spans="1:12" ht="24">
      <c r="A78" s="78" t="s">
        <v>108</v>
      </c>
      <c r="B78" s="77"/>
      <c r="C78" s="77"/>
      <c r="D78" s="140" t="s">
        <v>65</v>
      </c>
      <c r="E78" s="141" t="s">
        <v>6</v>
      </c>
      <c r="F78" s="141" t="s">
        <v>71</v>
      </c>
      <c r="G78" s="141" t="s">
        <v>295</v>
      </c>
      <c r="H78" s="141" t="s">
        <v>109</v>
      </c>
      <c r="I78" s="122">
        <f>187.56</f>
        <v>187.56</v>
      </c>
      <c r="J78" s="134"/>
      <c r="K78" s="139">
        <f>187560/1000</f>
        <v>187.56</v>
      </c>
      <c r="L78" s="135">
        <f t="shared" si="0"/>
        <v>100</v>
      </c>
    </row>
    <row r="79" spans="1:12" ht="24" hidden="1">
      <c r="A79" s="78" t="s">
        <v>108</v>
      </c>
      <c r="B79" s="77"/>
      <c r="C79" s="77"/>
      <c r="D79" s="140" t="s">
        <v>65</v>
      </c>
      <c r="E79" s="141" t="s">
        <v>6</v>
      </c>
      <c r="F79" s="141" t="s">
        <v>71</v>
      </c>
      <c r="G79" s="141" t="s">
        <v>237</v>
      </c>
      <c r="H79" s="141" t="s">
        <v>109</v>
      </c>
      <c r="I79" s="122"/>
      <c r="J79" s="134"/>
      <c r="K79" s="139"/>
      <c r="L79" s="135" t="e">
        <f t="shared" si="0"/>
        <v>#DIV/0!</v>
      </c>
    </row>
    <row r="80" spans="1:12" ht="12" hidden="1">
      <c r="A80" s="78" t="s">
        <v>230</v>
      </c>
      <c r="B80" s="77"/>
      <c r="C80" s="77"/>
      <c r="D80" s="140" t="s">
        <v>65</v>
      </c>
      <c r="E80" s="141" t="s">
        <v>6</v>
      </c>
      <c r="F80" s="141" t="s">
        <v>71</v>
      </c>
      <c r="G80" s="141" t="s">
        <v>231</v>
      </c>
      <c r="H80" s="141"/>
      <c r="I80" s="122">
        <f>I81</f>
        <v>0</v>
      </c>
      <c r="J80" s="134"/>
      <c r="K80" s="139">
        <f>K81</f>
        <v>0</v>
      </c>
      <c r="L80" s="135" t="e">
        <f aca="true" t="shared" si="1" ref="L80:L143">K80/I80*100</f>
        <v>#DIV/0!</v>
      </c>
    </row>
    <row r="81" spans="1:12" ht="12" hidden="1">
      <c r="A81" s="88" t="s">
        <v>86</v>
      </c>
      <c r="B81" s="77"/>
      <c r="C81" s="77"/>
      <c r="D81" s="140" t="s">
        <v>65</v>
      </c>
      <c r="E81" s="141" t="s">
        <v>6</v>
      </c>
      <c r="F81" s="141" t="s">
        <v>71</v>
      </c>
      <c r="G81" s="141" t="s">
        <v>232</v>
      </c>
      <c r="H81" s="141" t="s">
        <v>87</v>
      </c>
      <c r="I81" s="122">
        <f>I82</f>
        <v>0</v>
      </c>
      <c r="J81" s="134"/>
      <c r="K81" s="139">
        <f>K82</f>
        <v>0</v>
      </c>
      <c r="L81" s="135" t="e">
        <f t="shared" si="1"/>
        <v>#DIV/0!</v>
      </c>
    </row>
    <row r="82" spans="1:12" ht="12" hidden="1">
      <c r="A82" s="78" t="s">
        <v>214</v>
      </c>
      <c r="B82" s="77"/>
      <c r="C82" s="77"/>
      <c r="D82" s="140" t="s">
        <v>65</v>
      </c>
      <c r="E82" s="141" t="s">
        <v>6</v>
      </c>
      <c r="F82" s="141" t="s">
        <v>71</v>
      </c>
      <c r="G82" s="141" t="s">
        <v>231</v>
      </c>
      <c r="H82" s="141" t="s">
        <v>213</v>
      </c>
      <c r="I82" s="122">
        <v>0</v>
      </c>
      <c r="J82" s="134"/>
      <c r="K82" s="139">
        <v>0</v>
      </c>
      <c r="L82" s="135" t="e">
        <f t="shared" si="1"/>
        <v>#DIV/0!</v>
      </c>
    </row>
    <row r="83" spans="1:12" ht="12" hidden="1">
      <c r="A83" s="76" t="s">
        <v>86</v>
      </c>
      <c r="B83" s="77"/>
      <c r="C83" s="77"/>
      <c r="D83" s="140" t="s">
        <v>65</v>
      </c>
      <c r="E83" s="141" t="s">
        <v>6</v>
      </c>
      <c r="F83" s="141" t="s">
        <v>71</v>
      </c>
      <c r="G83" s="141" t="s">
        <v>231</v>
      </c>
      <c r="H83" s="141" t="s">
        <v>87</v>
      </c>
      <c r="I83" s="122">
        <f>I84</f>
        <v>0</v>
      </c>
      <c r="J83" s="134"/>
      <c r="K83" s="139">
        <f>K84</f>
        <v>0</v>
      </c>
      <c r="L83" s="135" t="e">
        <f t="shared" si="1"/>
        <v>#DIV/0!</v>
      </c>
    </row>
    <row r="84" spans="1:12" ht="12" hidden="1">
      <c r="A84" s="78" t="s">
        <v>214</v>
      </c>
      <c r="B84" s="77"/>
      <c r="C84" s="77"/>
      <c r="D84" s="140" t="s">
        <v>65</v>
      </c>
      <c r="E84" s="141" t="s">
        <v>6</v>
      </c>
      <c r="F84" s="141" t="s">
        <v>71</v>
      </c>
      <c r="G84" s="141" t="s">
        <v>231</v>
      </c>
      <c r="H84" s="141" t="s">
        <v>265</v>
      </c>
      <c r="I84" s="122">
        <v>0</v>
      </c>
      <c r="J84" s="134"/>
      <c r="K84" s="139">
        <v>0</v>
      </c>
      <c r="L84" s="135" t="e">
        <f t="shared" si="1"/>
        <v>#DIV/0!</v>
      </c>
    </row>
    <row r="85" spans="1:12" ht="12">
      <c r="A85" s="74" t="s">
        <v>52</v>
      </c>
      <c r="B85" s="77"/>
      <c r="C85" s="77"/>
      <c r="D85" s="138" t="s">
        <v>65</v>
      </c>
      <c r="E85" s="133" t="s">
        <v>8</v>
      </c>
      <c r="F85" s="133" t="s">
        <v>55</v>
      </c>
      <c r="G85" s="133"/>
      <c r="H85" s="133"/>
      <c r="I85" s="121">
        <f>I86</f>
        <v>412.9</v>
      </c>
      <c r="J85" s="134"/>
      <c r="K85" s="135">
        <f>K86</f>
        <v>225.50261999999998</v>
      </c>
      <c r="L85" s="135">
        <f t="shared" si="1"/>
        <v>54.61434245580043</v>
      </c>
    </row>
    <row r="86" spans="1:12" ht="12">
      <c r="A86" s="74" t="s">
        <v>53</v>
      </c>
      <c r="B86" s="75"/>
      <c r="C86" s="75"/>
      <c r="D86" s="138" t="s">
        <v>65</v>
      </c>
      <c r="E86" s="133" t="s">
        <v>8</v>
      </c>
      <c r="F86" s="133" t="s">
        <v>9</v>
      </c>
      <c r="G86" s="133"/>
      <c r="H86" s="133"/>
      <c r="I86" s="121">
        <f>I87</f>
        <v>412.9</v>
      </c>
      <c r="J86" s="134"/>
      <c r="K86" s="135">
        <f>K87</f>
        <v>225.50261999999998</v>
      </c>
      <c r="L86" s="135">
        <f t="shared" si="1"/>
        <v>54.61434245580043</v>
      </c>
    </row>
    <row r="87" spans="1:12" ht="12">
      <c r="A87" s="81" t="s">
        <v>88</v>
      </c>
      <c r="B87" s="89"/>
      <c r="C87" s="89"/>
      <c r="D87" s="144" t="s">
        <v>65</v>
      </c>
      <c r="E87" s="145" t="s">
        <v>8</v>
      </c>
      <c r="F87" s="145" t="s">
        <v>9</v>
      </c>
      <c r="G87" s="141" t="s">
        <v>224</v>
      </c>
      <c r="H87" s="145"/>
      <c r="I87" s="122">
        <f>I88</f>
        <v>412.9</v>
      </c>
      <c r="J87" s="134"/>
      <c r="K87" s="139">
        <f>K88</f>
        <v>225.50261999999998</v>
      </c>
      <c r="L87" s="135">
        <f t="shared" si="1"/>
        <v>54.61434245580043</v>
      </c>
    </row>
    <row r="88" spans="1:12" ht="48">
      <c r="A88" s="78" t="s">
        <v>83</v>
      </c>
      <c r="B88" s="77"/>
      <c r="C88" s="77"/>
      <c r="D88" s="140" t="s">
        <v>65</v>
      </c>
      <c r="E88" s="141" t="s">
        <v>8</v>
      </c>
      <c r="F88" s="141" t="s">
        <v>9</v>
      </c>
      <c r="G88" s="141" t="s">
        <v>223</v>
      </c>
      <c r="H88" s="141"/>
      <c r="I88" s="122">
        <f>I89+I93</f>
        <v>412.9</v>
      </c>
      <c r="J88" s="134"/>
      <c r="K88" s="139">
        <f>K89+K93</f>
        <v>225.50261999999998</v>
      </c>
      <c r="L88" s="135">
        <f t="shared" si="1"/>
        <v>54.61434245580043</v>
      </c>
    </row>
    <row r="89" spans="1:12" ht="12">
      <c r="A89" s="80" t="s">
        <v>154</v>
      </c>
      <c r="B89" s="77"/>
      <c r="C89" s="77"/>
      <c r="D89" s="140" t="s">
        <v>65</v>
      </c>
      <c r="E89" s="141" t="s">
        <v>8</v>
      </c>
      <c r="F89" s="141" t="s">
        <v>9</v>
      </c>
      <c r="G89" s="141" t="s">
        <v>223</v>
      </c>
      <c r="H89" s="141" t="s">
        <v>100</v>
      </c>
      <c r="I89" s="122">
        <f>370.9+25</f>
        <v>395.9</v>
      </c>
      <c r="J89" s="134"/>
      <c r="K89" s="139">
        <f>218857.68/1000</f>
        <v>218.85768</v>
      </c>
      <c r="L89" s="135">
        <f t="shared" si="1"/>
        <v>55.28105077039657</v>
      </c>
    </row>
    <row r="90" spans="1:12" ht="24" hidden="1">
      <c r="A90" s="78" t="s">
        <v>102</v>
      </c>
      <c r="B90" s="77"/>
      <c r="C90" s="77"/>
      <c r="D90" s="140" t="s">
        <v>65</v>
      </c>
      <c r="E90" s="141" t="s">
        <v>8</v>
      </c>
      <c r="F90" s="141" t="s">
        <v>9</v>
      </c>
      <c r="G90" s="141" t="s">
        <v>223</v>
      </c>
      <c r="H90" s="141" t="s">
        <v>99</v>
      </c>
      <c r="I90" s="122">
        <v>0</v>
      </c>
      <c r="J90" s="134"/>
      <c r="K90" s="139">
        <v>0</v>
      </c>
      <c r="L90" s="135" t="e">
        <f t="shared" si="1"/>
        <v>#DIV/0!</v>
      </c>
    </row>
    <row r="91" spans="1:12" ht="24" hidden="1">
      <c r="A91" s="78" t="s">
        <v>106</v>
      </c>
      <c r="B91" s="77"/>
      <c r="C91" s="77"/>
      <c r="D91" s="140" t="s">
        <v>65</v>
      </c>
      <c r="E91" s="141" t="s">
        <v>8</v>
      </c>
      <c r="F91" s="141" t="s">
        <v>9</v>
      </c>
      <c r="G91" s="141" t="s">
        <v>223</v>
      </c>
      <c r="H91" s="141" t="s">
        <v>107</v>
      </c>
      <c r="I91" s="122">
        <v>0</v>
      </c>
      <c r="J91" s="134"/>
      <c r="K91" s="139">
        <v>0</v>
      </c>
      <c r="L91" s="135" t="e">
        <f t="shared" si="1"/>
        <v>#DIV/0!</v>
      </c>
    </row>
    <row r="92" spans="1:12" ht="12" hidden="1">
      <c r="A92" s="78"/>
      <c r="B92" s="77"/>
      <c r="C92" s="77"/>
      <c r="D92" s="140"/>
      <c r="E92" s="141"/>
      <c r="F92" s="141"/>
      <c r="G92" s="141"/>
      <c r="H92" s="141"/>
      <c r="I92" s="122"/>
      <c r="J92" s="134"/>
      <c r="K92" s="139"/>
      <c r="L92" s="135" t="e">
        <f t="shared" si="1"/>
        <v>#DIV/0!</v>
      </c>
    </row>
    <row r="93" spans="1:12" ht="24">
      <c r="A93" s="80" t="s">
        <v>227</v>
      </c>
      <c r="B93" s="77"/>
      <c r="C93" s="77"/>
      <c r="D93" s="140" t="s">
        <v>65</v>
      </c>
      <c r="E93" s="141" t="s">
        <v>8</v>
      </c>
      <c r="F93" s="141" t="s">
        <v>9</v>
      </c>
      <c r="G93" s="141" t="s">
        <v>223</v>
      </c>
      <c r="H93" s="141" t="s">
        <v>166</v>
      </c>
      <c r="I93" s="122">
        <f>I94</f>
        <v>17</v>
      </c>
      <c r="J93" s="134"/>
      <c r="K93" s="139">
        <f>K94</f>
        <v>6.644939999999999</v>
      </c>
      <c r="L93" s="135">
        <f t="shared" si="1"/>
        <v>39.08788235294117</v>
      </c>
    </row>
    <row r="94" spans="1:12" ht="24">
      <c r="A94" s="78" t="s">
        <v>108</v>
      </c>
      <c r="B94" s="77"/>
      <c r="C94" s="77"/>
      <c r="D94" s="140" t="s">
        <v>65</v>
      </c>
      <c r="E94" s="141" t="s">
        <v>8</v>
      </c>
      <c r="F94" s="141" t="s">
        <v>9</v>
      </c>
      <c r="G94" s="141" t="s">
        <v>223</v>
      </c>
      <c r="H94" s="141" t="s">
        <v>109</v>
      </c>
      <c r="I94" s="122">
        <v>17</v>
      </c>
      <c r="J94" s="134"/>
      <c r="K94" s="139">
        <f>6644.94/1000</f>
        <v>6.644939999999999</v>
      </c>
      <c r="L94" s="135">
        <f t="shared" si="1"/>
        <v>39.08788235294117</v>
      </c>
    </row>
    <row r="95" spans="1:12" ht="12">
      <c r="A95" s="74" t="s">
        <v>19</v>
      </c>
      <c r="B95" s="77"/>
      <c r="C95" s="77"/>
      <c r="D95" s="138" t="s">
        <v>65</v>
      </c>
      <c r="E95" s="133" t="s">
        <v>9</v>
      </c>
      <c r="F95" s="133"/>
      <c r="G95" s="133"/>
      <c r="H95" s="133"/>
      <c r="I95" s="121">
        <f>I96+I101</f>
        <v>457.5625</v>
      </c>
      <c r="J95" s="134"/>
      <c r="K95" s="135">
        <f>K96+K101</f>
        <v>285.3705</v>
      </c>
      <c r="L95" s="135">
        <f t="shared" si="1"/>
        <v>62.36754541729271</v>
      </c>
    </row>
    <row r="96" spans="1:12" ht="24">
      <c r="A96" s="74" t="s">
        <v>69</v>
      </c>
      <c r="B96" s="75"/>
      <c r="C96" s="75"/>
      <c r="D96" s="138" t="s">
        <v>65</v>
      </c>
      <c r="E96" s="133" t="s">
        <v>9</v>
      </c>
      <c r="F96" s="133" t="s">
        <v>20</v>
      </c>
      <c r="G96" s="133"/>
      <c r="H96" s="133"/>
      <c r="I96" s="121">
        <f>I97</f>
        <v>50</v>
      </c>
      <c r="J96" s="134"/>
      <c r="K96" s="135">
        <f>K97</f>
        <v>0</v>
      </c>
      <c r="L96" s="135">
        <f t="shared" si="1"/>
        <v>0</v>
      </c>
    </row>
    <row r="97" spans="1:12" ht="24">
      <c r="A97" s="76" t="s">
        <v>89</v>
      </c>
      <c r="B97" s="77"/>
      <c r="C97" s="77"/>
      <c r="D97" s="140" t="s">
        <v>65</v>
      </c>
      <c r="E97" s="141" t="s">
        <v>9</v>
      </c>
      <c r="F97" s="141" t="s">
        <v>20</v>
      </c>
      <c r="G97" s="141" t="s">
        <v>215</v>
      </c>
      <c r="H97" s="141"/>
      <c r="I97" s="122">
        <f>I98</f>
        <v>50</v>
      </c>
      <c r="J97" s="134"/>
      <c r="K97" s="139">
        <f>K98</f>
        <v>0</v>
      </c>
      <c r="L97" s="135">
        <f t="shared" si="1"/>
        <v>0</v>
      </c>
    </row>
    <row r="98" spans="1:12" ht="24">
      <c r="A98" s="76" t="s">
        <v>68</v>
      </c>
      <c r="B98" s="77"/>
      <c r="C98" s="77"/>
      <c r="D98" s="140" t="s">
        <v>65</v>
      </c>
      <c r="E98" s="141" t="s">
        <v>9</v>
      </c>
      <c r="F98" s="141" t="s">
        <v>20</v>
      </c>
      <c r="G98" s="141" t="s">
        <v>216</v>
      </c>
      <c r="H98" s="141"/>
      <c r="I98" s="122">
        <f>I99</f>
        <v>50</v>
      </c>
      <c r="J98" s="134"/>
      <c r="K98" s="139">
        <f>K99</f>
        <v>0</v>
      </c>
      <c r="L98" s="135">
        <f t="shared" si="1"/>
        <v>0</v>
      </c>
    </row>
    <row r="99" spans="1:12" ht="24">
      <c r="A99" s="80" t="s">
        <v>227</v>
      </c>
      <c r="B99" s="77"/>
      <c r="C99" s="77"/>
      <c r="D99" s="140" t="s">
        <v>65</v>
      </c>
      <c r="E99" s="141" t="s">
        <v>9</v>
      </c>
      <c r="F99" s="141" t="s">
        <v>20</v>
      </c>
      <c r="G99" s="141" t="s">
        <v>216</v>
      </c>
      <c r="H99" s="141" t="s">
        <v>166</v>
      </c>
      <c r="I99" s="122">
        <f>I100</f>
        <v>50</v>
      </c>
      <c r="J99" s="134"/>
      <c r="K99" s="139">
        <f>K100</f>
        <v>0</v>
      </c>
      <c r="L99" s="135">
        <f t="shared" si="1"/>
        <v>0</v>
      </c>
    </row>
    <row r="100" spans="1:12" ht="24">
      <c r="A100" s="78" t="s">
        <v>108</v>
      </c>
      <c r="B100" s="77"/>
      <c r="C100" s="77"/>
      <c r="D100" s="140" t="s">
        <v>65</v>
      </c>
      <c r="E100" s="141" t="s">
        <v>9</v>
      </c>
      <c r="F100" s="141" t="s">
        <v>20</v>
      </c>
      <c r="G100" s="141" t="s">
        <v>216</v>
      </c>
      <c r="H100" s="141" t="s">
        <v>109</v>
      </c>
      <c r="I100" s="122">
        <f>50000/1000</f>
        <v>50</v>
      </c>
      <c r="J100" s="134"/>
      <c r="K100" s="139">
        <v>0</v>
      </c>
      <c r="L100" s="135">
        <f t="shared" si="1"/>
        <v>0</v>
      </c>
    </row>
    <row r="101" spans="1:12" ht="12">
      <c r="A101" s="74" t="s">
        <v>58</v>
      </c>
      <c r="B101" s="75"/>
      <c r="C101" s="75"/>
      <c r="D101" s="138" t="s">
        <v>65</v>
      </c>
      <c r="E101" s="133" t="s">
        <v>9</v>
      </c>
      <c r="F101" s="133" t="s">
        <v>48</v>
      </c>
      <c r="G101" s="133"/>
      <c r="H101" s="133"/>
      <c r="I101" s="121">
        <f>I102</f>
        <v>407.5625</v>
      </c>
      <c r="J101" s="134"/>
      <c r="K101" s="135">
        <f>K102</f>
        <v>285.3705</v>
      </c>
      <c r="L101" s="135">
        <f t="shared" si="1"/>
        <v>70.01883146756633</v>
      </c>
    </row>
    <row r="102" spans="1:12" ht="24">
      <c r="A102" s="90" t="s">
        <v>182</v>
      </c>
      <c r="B102" s="77"/>
      <c r="C102" s="77"/>
      <c r="D102" s="140" t="s">
        <v>65</v>
      </c>
      <c r="E102" s="141" t="s">
        <v>9</v>
      </c>
      <c r="F102" s="141" t="s">
        <v>48</v>
      </c>
      <c r="G102" s="141" t="s">
        <v>180</v>
      </c>
      <c r="H102" s="141"/>
      <c r="I102" s="122">
        <f>I103</f>
        <v>407.5625</v>
      </c>
      <c r="J102" s="134"/>
      <c r="K102" s="139">
        <f>K103</f>
        <v>285.3705</v>
      </c>
      <c r="L102" s="135">
        <f t="shared" si="1"/>
        <v>70.01883146756633</v>
      </c>
    </row>
    <row r="103" spans="1:12" ht="24">
      <c r="A103" s="90" t="s">
        <v>90</v>
      </c>
      <c r="B103" s="77"/>
      <c r="C103" s="77"/>
      <c r="D103" s="140" t="s">
        <v>65</v>
      </c>
      <c r="E103" s="141" t="s">
        <v>9</v>
      </c>
      <c r="F103" s="141" t="s">
        <v>48</v>
      </c>
      <c r="G103" s="141" t="s">
        <v>181</v>
      </c>
      <c r="H103" s="141"/>
      <c r="I103" s="122">
        <f>I104</f>
        <v>407.5625</v>
      </c>
      <c r="J103" s="134"/>
      <c r="K103" s="139">
        <f>K104</f>
        <v>285.3705</v>
      </c>
      <c r="L103" s="135">
        <f t="shared" si="1"/>
        <v>70.01883146756633</v>
      </c>
    </row>
    <row r="104" spans="1:12" ht="24">
      <c r="A104" s="80" t="s">
        <v>162</v>
      </c>
      <c r="B104" s="77"/>
      <c r="C104" s="77"/>
      <c r="D104" s="140" t="s">
        <v>65</v>
      </c>
      <c r="E104" s="141" t="s">
        <v>9</v>
      </c>
      <c r="F104" s="141" t="s">
        <v>48</v>
      </c>
      <c r="G104" s="141" t="s">
        <v>181</v>
      </c>
      <c r="H104" s="141" t="s">
        <v>166</v>
      </c>
      <c r="I104" s="122">
        <f>I105</f>
        <v>407.5625</v>
      </c>
      <c r="J104" s="134"/>
      <c r="K104" s="139">
        <f>K105</f>
        <v>285.3705</v>
      </c>
      <c r="L104" s="135">
        <f t="shared" si="1"/>
        <v>70.01883146756633</v>
      </c>
    </row>
    <row r="105" spans="1:12" ht="24">
      <c r="A105" s="78" t="s">
        <v>108</v>
      </c>
      <c r="B105" s="77"/>
      <c r="C105" s="77"/>
      <c r="D105" s="140" t="s">
        <v>65</v>
      </c>
      <c r="E105" s="141" t="s">
        <v>9</v>
      </c>
      <c r="F105" s="141" t="s">
        <v>48</v>
      </c>
      <c r="G105" s="141" t="s">
        <v>181</v>
      </c>
      <c r="H105" s="141" t="s">
        <v>109</v>
      </c>
      <c r="I105" s="122">
        <f>407562.5/1000</f>
        <v>407.5625</v>
      </c>
      <c r="J105" s="134"/>
      <c r="K105" s="139">
        <f>285370.5/1000</f>
        <v>285.3705</v>
      </c>
      <c r="L105" s="135">
        <f t="shared" si="1"/>
        <v>70.01883146756633</v>
      </c>
    </row>
    <row r="106" spans="1:12" ht="12">
      <c r="A106" s="74" t="s">
        <v>21</v>
      </c>
      <c r="B106" s="75"/>
      <c r="C106" s="75"/>
      <c r="D106" s="138" t="s">
        <v>65</v>
      </c>
      <c r="E106" s="133" t="s">
        <v>11</v>
      </c>
      <c r="F106" s="133"/>
      <c r="G106" s="133"/>
      <c r="H106" s="133"/>
      <c r="I106" s="121">
        <f>I107+I118</f>
        <v>3976.79962</v>
      </c>
      <c r="J106" s="134"/>
      <c r="K106" s="135">
        <f>K107+K118</f>
        <v>2444.84122</v>
      </c>
      <c r="L106" s="135">
        <f t="shared" si="1"/>
        <v>61.47760645782802</v>
      </c>
    </row>
    <row r="107" spans="1:12" ht="12">
      <c r="A107" s="74" t="s">
        <v>75</v>
      </c>
      <c r="B107" s="75"/>
      <c r="C107" s="75"/>
      <c r="D107" s="138" t="s">
        <v>65</v>
      </c>
      <c r="E107" s="133" t="s">
        <v>11</v>
      </c>
      <c r="F107" s="133" t="s">
        <v>20</v>
      </c>
      <c r="G107" s="133"/>
      <c r="H107" s="133"/>
      <c r="I107" s="121">
        <f>I108+I112</f>
        <v>3897.86962</v>
      </c>
      <c r="J107" s="134"/>
      <c r="K107" s="135">
        <f>K108+K112</f>
        <v>2405.91122</v>
      </c>
      <c r="L107" s="135">
        <f t="shared" si="1"/>
        <v>61.72374795850663</v>
      </c>
    </row>
    <row r="108" spans="1:12" ht="24">
      <c r="A108" s="81" t="s">
        <v>238</v>
      </c>
      <c r="B108" s="75"/>
      <c r="C108" s="75"/>
      <c r="D108" s="140" t="s">
        <v>65</v>
      </c>
      <c r="E108" s="141" t="s">
        <v>11</v>
      </c>
      <c r="F108" s="141" t="s">
        <v>20</v>
      </c>
      <c r="G108" s="141" t="s">
        <v>186</v>
      </c>
      <c r="H108" s="141"/>
      <c r="I108" s="122">
        <f>I109+I115</f>
        <v>3897.86962</v>
      </c>
      <c r="J108" s="134"/>
      <c r="K108" s="139">
        <f>K109+K115</f>
        <v>2405.91122</v>
      </c>
      <c r="L108" s="135">
        <f t="shared" si="1"/>
        <v>61.72374795850663</v>
      </c>
    </row>
    <row r="109" spans="1:12" ht="24">
      <c r="A109" s="81" t="s">
        <v>280</v>
      </c>
      <c r="B109" s="75"/>
      <c r="C109" s="75"/>
      <c r="D109" s="140" t="s">
        <v>65</v>
      </c>
      <c r="E109" s="141" t="s">
        <v>11</v>
      </c>
      <c r="F109" s="141" t="s">
        <v>20</v>
      </c>
      <c r="G109" s="141" t="s">
        <v>187</v>
      </c>
      <c r="H109" s="133"/>
      <c r="I109" s="122">
        <f>I110</f>
        <v>3377.99462</v>
      </c>
      <c r="J109" s="134"/>
      <c r="K109" s="139">
        <f>K110</f>
        <v>2185.75362</v>
      </c>
      <c r="L109" s="135">
        <f t="shared" si="1"/>
        <v>64.70565722807457</v>
      </c>
    </row>
    <row r="110" spans="1:12" ht="24">
      <c r="A110" s="76" t="s">
        <v>185</v>
      </c>
      <c r="B110" s="75"/>
      <c r="C110" s="75"/>
      <c r="D110" s="140" t="s">
        <v>65</v>
      </c>
      <c r="E110" s="141" t="s">
        <v>11</v>
      </c>
      <c r="F110" s="141" t="s">
        <v>20</v>
      </c>
      <c r="G110" s="141" t="s">
        <v>187</v>
      </c>
      <c r="H110" s="141" t="s">
        <v>166</v>
      </c>
      <c r="I110" s="122">
        <f>I111</f>
        <v>3377.99462</v>
      </c>
      <c r="J110" s="134"/>
      <c r="K110" s="139">
        <f>K111</f>
        <v>2185.75362</v>
      </c>
      <c r="L110" s="135">
        <f t="shared" si="1"/>
        <v>64.70565722807457</v>
      </c>
    </row>
    <row r="111" spans="1:12" ht="24">
      <c r="A111" s="76" t="s">
        <v>108</v>
      </c>
      <c r="B111" s="75"/>
      <c r="C111" s="75"/>
      <c r="D111" s="140" t="s">
        <v>65</v>
      </c>
      <c r="E111" s="141" t="s">
        <v>11</v>
      </c>
      <c r="F111" s="141" t="s">
        <v>20</v>
      </c>
      <c r="G111" s="141" t="s">
        <v>187</v>
      </c>
      <c r="H111" s="141" t="s">
        <v>109</v>
      </c>
      <c r="I111" s="122">
        <f>2905507/1000+472487.62/1000</f>
        <v>3377.99462</v>
      </c>
      <c r="J111" s="134"/>
      <c r="K111" s="139">
        <f>2185753.62/1000</f>
        <v>2185.75362</v>
      </c>
      <c r="L111" s="135">
        <f t="shared" si="1"/>
        <v>64.70565722807457</v>
      </c>
    </row>
    <row r="112" spans="1:12" ht="72" hidden="1">
      <c r="A112" s="78" t="s">
        <v>218</v>
      </c>
      <c r="B112" s="77"/>
      <c r="C112" s="77"/>
      <c r="D112" s="140" t="s">
        <v>65</v>
      </c>
      <c r="E112" s="141" t="s">
        <v>11</v>
      </c>
      <c r="F112" s="141" t="s">
        <v>20</v>
      </c>
      <c r="G112" s="145" t="s">
        <v>219</v>
      </c>
      <c r="H112" s="141"/>
      <c r="I112" s="122">
        <f>I113</f>
        <v>0</v>
      </c>
      <c r="J112" s="134"/>
      <c r="K112" s="139">
        <f>K113</f>
        <v>0</v>
      </c>
      <c r="L112" s="135" t="e">
        <f t="shared" si="1"/>
        <v>#DIV/0!</v>
      </c>
    </row>
    <row r="113" spans="1:12" ht="24" hidden="1">
      <c r="A113" s="76" t="s">
        <v>185</v>
      </c>
      <c r="B113" s="77"/>
      <c r="C113" s="77"/>
      <c r="D113" s="140" t="s">
        <v>65</v>
      </c>
      <c r="E113" s="141" t="s">
        <v>11</v>
      </c>
      <c r="F113" s="141" t="s">
        <v>20</v>
      </c>
      <c r="G113" s="145" t="s">
        <v>219</v>
      </c>
      <c r="H113" s="141" t="s">
        <v>166</v>
      </c>
      <c r="I113" s="122">
        <f>I114</f>
        <v>0</v>
      </c>
      <c r="J113" s="134"/>
      <c r="K113" s="139">
        <f>K114</f>
        <v>0</v>
      </c>
      <c r="L113" s="135" t="e">
        <f t="shared" si="1"/>
        <v>#DIV/0!</v>
      </c>
    </row>
    <row r="114" spans="1:12" ht="24" hidden="1">
      <c r="A114" s="78" t="s">
        <v>108</v>
      </c>
      <c r="B114" s="77"/>
      <c r="C114" s="77"/>
      <c r="D114" s="140" t="s">
        <v>65</v>
      </c>
      <c r="E114" s="141" t="s">
        <v>11</v>
      </c>
      <c r="F114" s="141" t="s">
        <v>20</v>
      </c>
      <c r="G114" s="145" t="s">
        <v>219</v>
      </c>
      <c r="H114" s="141" t="s">
        <v>109</v>
      </c>
      <c r="I114" s="122">
        <v>0</v>
      </c>
      <c r="J114" s="134"/>
      <c r="K114" s="139">
        <v>0</v>
      </c>
      <c r="L114" s="135" t="e">
        <f t="shared" si="1"/>
        <v>#DIV/0!</v>
      </c>
    </row>
    <row r="115" spans="1:12" ht="36">
      <c r="A115" s="81" t="s">
        <v>281</v>
      </c>
      <c r="B115" s="75"/>
      <c r="C115" s="75"/>
      <c r="D115" s="140" t="s">
        <v>65</v>
      </c>
      <c r="E115" s="141" t="s">
        <v>11</v>
      </c>
      <c r="F115" s="141" t="s">
        <v>20</v>
      </c>
      <c r="G115" s="141" t="s">
        <v>239</v>
      </c>
      <c r="H115" s="133"/>
      <c r="I115" s="122">
        <f>I116</f>
        <v>519.875</v>
      </c>
      <c r="J115" s="134"/>
      <c r="K115" s="139">
        <f>K116</f>
        <v>220.1576</v>
      </c>
      <c r="L115" s="135">
        <f t="shared" si="1"/>
        <v>42.3481798509257</v>
      </c>
    </row>
    <row r="116" spans="1:12" ht="24">
      <c r="A116" s="76" t="s">
        <v>185</v>
      </c>
      <c r="B116" s="75"/>
      <c r="C116" s="75"/>
      <c r="D116" s="140" t="s">
        <v>65</v>
      </c>
      <c r="E116" s="141" t="s">
        <v>11</v>
      </c>
      <c r="F116" s="141" t="s">
        <v>20</v>
      </c>
      <c r="G116" s="141" t="s">
        <v>239</v>
      </c>
      <c r="H116" s="141" t="s">
        <v>166</v>
      </c>
      <c r="I116" s="122">
        <f>I117</f>
        <v>519.875</v>
      </c>
      <c r="J116" s="134"/>
      <c r="K116" s="139">
        <f>K117</f>
        <v>220.1576</v>
      </c>
      <c r="L116" s="135">
        <f t="shared" si="1"/>
        <v>42.3481798509257</v>
      </c>
    </row>
    <row r="117" spans="1:12" ht="24">
      <c r="A117" s="76" t="s">
        <v>108</v>
      </c>
      <c r="B117" s="75"/>
      <c r="C117" s="75"/>
      <c r="D117" s="140" t="s">
        <v>65</v>
      </c>
      <c r="E117" s="141" t="s">
        <v>11</v>
      </c>
      <c r="F117" s="141" t="s">
        <v>20</v>
      </c>
      <c r="G117" s="141" t="s">
        <v>239</v>
      </c>
      <c r="H117" s="141" t="s">
        <v>109</v>
      </c>
      <c r="I117" s="122">
        <f>444875/1000+75000/1000</f>
        <v>519.875</v>
      </c>
      <c r="J117" s="134"/>
      <c r="K117" s="139">
        <f>220157.6/1000</f>
        <v>220.1576</v>
      </c>
      <c r="L117" s="135">
        <f t="shared" si="1"/>
        <v>42.3481798509257</v>
      </c>
    </row>
    <row r="118" spans="1:12" ht="12">
      <c r="A118" s="91" t="s">
        <v>22</v>
      </c>
      <c r="B118" s="77"/>
      <c r="C118" s="77"/>
      <c r="D118" s="138" t="s">
        <v>65</v>
      </c>
      <c r="E118" s="133" t="s">
        <v>11</v>
      </c>
      <c r="F118" s="133" t="s">
        <v>45</v>
      </c>
      <c r="G118" s="133"/>
      <c r="H118" s="133"/>
      <c r="I118" s="121">
        <f>I119</f>
        <v>78.93</v>
      </c>
      <c r="J118" s="134"/>
      <c r="K118" s="135">
        <f>K119</f>
        <v>38.93</v>
      </c>
      <c r="L118" s="135">
        <f t="shared" si="1"/>
        <v>49.322184213860375</v>
      </c>
    </row>
    <row r="119" spans="1:12" ht="12">
      <c r="A119" s="78" t="s">
        <v>121</v>
      </c>
      <c r="B119" s="77"/>
      <c r="C119" s="77"/>
      <c r="D119" s="140" t="s">
        <v>65</v>
      </c>
      <c r="E119" s="141" t="s">
        <v>11</v>
      </c>
      <c r="F119" s="141" t="s">
        <v>45</v>
      </c>
      <c r="G119" s="141" t="s">
        <v>183</v>
      </c>
      <c r="H119" s="133"/>
      <c r="I119" s="122">
        <f>I120</f>
        <v>78.93</v>
      </c>
      <c r="J119" s="134"/>
      <c r="K119" s="139">
        <f>K120</f>
        <v>38.93</v>
      </c>
      <c r="L119" s="135">
        <f t="shared" si="1"/>
        <v>49.322184213860375</v>
      </c>
    </row>
    <row r="120" spans="1:12" ht="12">
      <c r="A120" s="78" t="s">
        <v>67</v>
      </c>
      <c r="B120" s="77"/>
      <c r="C120" s="77"/>
      <c r="D120" s="140" t="s">
        <v>65</v>
      </c>
      <c r="E120" s="141" t="s">
        <v>11</v>
      </c>
      <c r="F120" s="141" t="s">
        <v>45</v>
      </c>
      <c r="G120" s="141" t="s">
        <v>184</v>
      </c>
      <c r="H120" s="133"/>
      <c r="I120" s="122">
        <f>I121</f>
        <v>78.93</v>
      </c>
      <c r="J120" s="134"/>
      <c r="K120" s="139">
        <f>K121</f>
        <v>38.93</v>
      </c>
      <c r="L120" s="135">
        <f t="shared" si="1"/>
        <v>49.322184213860375</v>
      </c>
    </row>
    <row r="121" spans="1:12" ht="24">
      <c r="A121" s="80" t="s">
        <v>227</v>
      </c>
      <c r="B121" s="77"/>
      <c r="C121" s="77"/>
      <c r="D121" s="140" t="s">
        <v>65</v>
      </c>
      <c r="E121" s="141" t="s">
        <v>11</v>
      </c>
      <c r="F121" s="141" t="s">
        <v>45</v>
      </c>
      <c r="G121" s="141" t="s">
        <v>184</v>
      </c>
      <c r="H121" s="141" t="s">
        <v>166</v>
      </c>
      <c r="I121" s="122">
        <f>I122</f>
        <v>78.93</v>
      </c>
      <c r="J121" s="134"/>
      <c r="K121" s="139">
        <f>K122</f>
        <v>38.93</v>
      </c>
      <c r="L121" s="135">
        <f t="shared" si="1"/>
        <v>49.322184213860375</v>
      </c>
    </row>
    <row r="122" spans="1:12" ht="24">
      <c r="A122" s="78" t="s">
        <v>108</v>
      </c>
      <c r="B122" s="77"/>
      <c r="C122" s="77"/>
      <c r="D122" s="140" t="s">
        <v>65</v>
      </c>
      <c r="E122" s="141" t="s">
        <v>11</v>
      </c>
      <c r="F122" s="141" t="s">
        <v>45</v>
      </c>
      <c r="G122" s="141" t="s">
        <v>184</v>
      </c>
      <c r="H122" s="141" t="s">
        <v>109</v>
      </c>
      <c r="I122" s="122">
        <f>78930/1000</f>
        <v>78.93</v>
      </c>
      <c r="J122" s="134"/>
      <c r="K122" s="139">
        <v>38.93</v>
      </c>
      <c r="L122" s="135">
        <f t="shared" si="1"/>
        <v>49.322184213860375</v>
      </c>
    </row>
    <row r="123" spans="1:12" ht="12" hidden="1">
      <c r="A123" s="78" t="s">
        <v>135</v>
      </c>
      <c r="B123" s="77"/>
      <c r="C123" s="77"/>
      <c r="D123" s="140" t="s">
        <v>65</v>
      </c>
      <c r="E123" s="141" t="s">
        <v>11</v>
      </c>
      <c r="F123" s="141" t="s">
        <v>45</v>
      </c>
      <c r="G123" s="141" t="s">
        <v>139</v>
      </c>
      <c r="H123" s="141"/>
      <c r="I123" s="122"/>
      <c r="J123" s="134"/>
      <c r="K123" s="139"/>
      <c r="L123" s="135" t="e">
        <f t="shared" si="1"/>
        <v>#DIV/0!</v>
      </c>
    </row>
    <row r="124" spans="1:12" ht="24" hidden="1">
      <c r="A124" s="78" t="s">
        <v>108</v>
      </c>
      <c r="B124" s="77"/>
      <c r="C124" s="77"/>
      <c r="D124" s="140" t="s">
        <v>65</v>
      </c>
      <c r="E124" s="141" t="s">
        <v>11</v>
      </c>
      <c r="F124" s="141" t="s">
        <v>45</v>
      </c>
      <c r="G124" s="141" t="s">
        <v>140</v>
      </c>
      <c r="H124" s="141" t="s">
        <v>109</v>
      </c>
      <c r="I124" s="122">
        <f>I125</f>
        <v>0</v>
      </c>
      <c r="J124" s="134"/>
      <c r="K124" s="139">
        <f>K125</f>
        <v>0</v>
      </c>
      <c r="L124" s="135" t="e">
        <f t="shared" si="1"/>
        <v>#DIV/0!</v>
      </c>
    </row>
    <row r="125" spans="1:12" ht="24" hidden="1">
      <c r="A125" s="78" t="s">
        <v>110</v>
      </c>
      <c r="B125" s="77"/>
      <c r="C125" s="77"/>
      <c r="D125" s="140" t="s">
        <v>65</v>
      </c>
      <c r="E125" s="141" t="s">
        <v>11</v>
      </c>
      <c r="F125" s="141" t="s">
        <v>45</v>
      </c>
      <c r="G125" s="141" t="s">
        <v>140</v>
      </c>
      <c r="H125" s="141" t="s">
        <v>111</v>
      </c>
      <c r="I125" s="122"/>
      <c r="J125" s="134"/>
      <c r="K125" s="139"/>
      <c r="L125" s="135" t="e">
        <f t="shared" si="1"/>
        <v>#DIV/0!</v>
      </c>
    </row>
    <row r="126" spans="1:12" ht="12">
      <c r="A126" s="92" t="s">
        <v>23</v>
      </c>
      <c r="B126" s="77"/>
      <c r="C126" s="75" t="s">
        <v>80</v>
      </c>
      <c r="D126" s="138" t="s">
        <v>65</v>
      </c>
      <c r="E126" s="133" t="s">
        <v>24</v>
      </c>
      <c r="F126" s="133"/>
      <c r="G126" s="133"/>
      <c r="H126" s="133"/>
      <c r="I126" s="121">
        <f>I127+I141+I166</f>
        <v>15809.844105</v>
      </c>
      <c r="J126" s="134"/>
      <c r="K126" s="135">
        <f>K127+K141+K166</f>
        <v>11112.91254</v>
      </c>
      <c r="L126" s="135">
        <f t="shared" si="1"/>
        <v>70.29109500507627</v>
      </c>
    </row>
    <row r="127" spans="1:12" ht="12">
      <c r="A127" s="74" t="s">
        <v>47</v>
      </c>
      <c r="B127" s="75" t="s">
        <v>80</v>
      </c>
      <c r="C127" s="75" t="s">
        <v>80</v>
      </c>
      <c r="D127" s="138" t="s">
        <v>65</v>
      </c>
      <c r="E127" s="133" t="s">
        <v>24</v>
      </c>
      <c r="F127" s="133" t="s">
        <v>6</v>
      </c>
      <c r="G127" s="133"/>
      <c r="H127" s="133"/>
      <c r="I127" s="121">
        <f>I133</f>
        <v>5285</v>
      </c>
      <c r="J127" s="134"/>
      <c r="K127" s="135">
        <f>K133</f>
        <v>3650.2205299999996</v>
      </c>
      <c r="L127" s="135">
        <f t="shared" si="1"/>
        <v>69.06755969725637</v>
      </c>
    </row>
    <row r="128" spans="1:12" ht="36" hidden="1">
      <c r="A128" s="79" t="s">
        <v>161</v>
      </c>
      <c r="B128" s="75"/>
      <c r="C128" s="75"/>
      <c r="D128" s="140" t="s">
        <v>65</v>
      </c>
      <c r="E128" s="141" t="s">
        <v>24</v>
      </c>
      <c r="F128" s="141" t="s">
        <v>6</v>
      </c>
      <c r="G128" s="141" t="s">
        <v>188</v>
      </c>
      <c r="H128" s="133"/>
      <c r="I128" s="121"/>
      <c r="J128" s="134"/>
      <c r="K128" s="135"/>
      <c r="L128" s="135" t="e">
        <f t="shared" si="1"/>
        <v>#DIV/0!</v>
      </c>
    </row>
    <row r="129" spans="1:12" ht="24" hidden="1">
      <c r="A129" s="81" t="s">
        <v>177</v>
      </c>
      <c r="B129" s="75"/>
      <c r="C129" s="75"/>
      <c r="D129" s="140" t="s">
        <v>65</v>
      </c>
      <c r="E129" s="141" t="s">
        <v>24</v>
      </c>
      <c r="F129" s="141" t="s">
        <v>6</v>
      </c>
      <c r="G129" s="141" t="s">
        <v>189</v>
      </c>
      <c r="H129" s="141"/>
      <c r="I129" s="121"/>
      <c r="J129" s="134"/>
      <c r="K129" s="135"/>
      <c r="L129" s="135" t="e">
        <f t="shared" si="1"/>
        <v>#DIV/0!</v>
      </c>
    </row>
    <row r="130" spans="1:12" ht="24" hidden="1">
      <c r="A130" s="80" t="s">
        <v>162</v>
      </c>
      <c r="B130" s="75"/>
      <c r="C130" s="75"/>
      <c r="D130" s="140" t="s">
        <v>65</v>
      </c>
      <c r="E130" s="141" t="s">
        <v>24</v>
      </c>
      <c r="F130" s="141" t="s">
        <v>6</v>
      </c>
      <c r="G130" s="141" t="s">
        <v>189</v>
      </c>
      <c r="H130" s="141" t="s">
        <v>166</v>
      </c>
      <c r="I130" s="121"/>
      <c r="J130" s="134"/>
      <c r="K130" s="135"/>
      <c r="L130" s="135" t="e">
        <f t="shared" si="1"/>
        <v>#DIV/0!</v>
      </c>
    </row>
    <row r="131" spans="1:12" ht="24" hidden="1">
      <c r="A131" s="80" t="s">
        <v>163</v>
      </c>
      <c r="B131" s="75"/>
      <c r="C131" s="75"/>
      <c r="D131" s="140" t="s">
        <v>65</v>
      </c>
      <c r="E131" s="141" t="s">
        <v>24</v>
      </c>
      <c r="F131" s="141" t="s">
        <v>6</v>
      </c>
      <c r="G131" s="141" t="s">
        <v>189</v>
      </c>
      <c r="H131" s="141" t="s">
        <v>109</v>
      </c>
      <c r="I131" s="121"/>
      <c r="J131" s="134"/>
      <c r="K131" s="135"/>
      <c r="L131" s="135" t="e">
        <f t="shared" si="1"/>
        <v>#DIV/0!</v>
      </c>
    </row>
    <row r="132" spans="1:12" ht="12">
      <c r="A132" s="93" t="s">
        <v>243</v>
      </c>
      <c r="B132" s="75"/>
      <c r="C132" s="75"/>
      <c r="D132" s="140" t="s">
        <v>65</v>
      </c>
      <c r="E132" s="141" t="s">
        <v>24</v>
      </c>
      <c r="F132" s="141" t="s">
        <v>6</v>
      </c>
      <c r="G132" s="141" t="s">
        <v>242</v>
      </c>
      <c r="H132" s="141"/>
      <c r="I132" s="121">
        <f>I133</f>
        <v>5285</v>
      </c>
      <c r="J132" s="134"/>
      <c r="K132" s="135">
        <f>K133</f>
        <v>3650.2205299999996</v>
      </c>
      <c r="L132" s="135">
        <f t="shared" si="1"/>
        <v>69.06755969725637</v>
      </c>
    </row>
    <row r="133" spans="1:12" ht="12">
      <c r="A133" s="93" t="s">
        <v>92</v>
      </c>
      <c r="B133" s="75"/>
      <c r="C133" s="75"/>
      <c r="D133" s="140" t="s">
        <v>65</v>
      </c>
      <c r="E133" s="141" t="s">
        <v>24</v>
      </c>
      <c r="F133" s="141" t="s">
        <v>6</v>
      </c>
      <c r="G133" s="141" t="s">
        <v>190</v>
      </c>
      <c r="H133" s="141"/>
      <c r="I133" s="121">
        <f>I134</f>
        <v>5285</v>
      </c>
      <c r="J133" s="134"/>
      <c r="K133" s="135">
        <f>K134</f>
        <v>3650.2205299999996</v>
      </c>
      <c r="L133" s="135">
        <f t="shared" si="1"/>
        <v>69.06755969725637</v>
      </c>
    </row>
    <row r="134" spans="1:12" ht="12">
      <c r="A134" s="93" t="s">
        <v>91</v>
      </c>
      <c r="B134" s="77" t="s">
        <v>80</v>
      </c>
      <c r="C134" s="77" t="s">
        <v>80</v>
      </c>
      <c r="D134" s="140" t="s">
        <v>65</v>
      </c>
      <c r="E134" s="141" t="s">
        <v>24</v>
      </c>
      <c r="F134" s="141" t="s">
        <v>6</v>
      </c>
      <c r="G134" s="141" t="s">
        <v>190</v>
      </c>
      <c r="H134" s="141"/>
      <c r="I134" s="122">
        <f>I135+I139</f>
        <v>5285</v>
      </c>
      <c r="J134" s="134"/>
      <c r="K134" s="139">
        <f>K135+K139</f>
        <v>3650.2205299999996</v>
      </c>
      <c r="L134" s="135">
        <f t="shared" si="1"/>
        <v>69.06755969725637</v>
      </c>
    </row>
    <row r="135" spans="1:12" ht="24">
      <c r="A135" s="94" t="s">
        <v>227</v>
      </c>
      <c r="B135" s="77"/>
      <c r="C135" s="77" t="s">
        <v>80</v>
      </c>
      <c r="D135" s="140" t="s">
        <v>65</v>
      </c>
      <c r="E135" s="141" t="s">
        <v>24</v>
      </c>
      <c r="F135" s="141" t="s">
        <v>6</v>
      </c>
      <c r="G135" s="141" t="s">
        <v>190</v>
      </c>
      <c r="H135" s="141" t="s">
        <v>166</v>
      </c>
      <c r="I135" s="122">
        <f>I136</f>
        <v>5285</v>
      </c>
      <c r="J135" s="134"/>
      <c r="K135" s="139">
        <f>K136</f>
        <v>3650.2205299999996</v>
      </c>
      <c r="L135" s="135">
        <f t="shared" si="1"/>
        <v>69.06755969725637</v>
      </c>
    </row>
    <row r="136" spans="1:12" ht="24">
      <c r="A136" s="93" t="s">
        <v>108</v>
      </c>
      <c r="B136" s="77"/>
      <c r="C136" s="77"/>
      <c r="D136" s="140" t="s">
        <v>65</v>
      </c>
      <c r="E136" s="141" t="s">
        <v>24</v>
      </c>
      <c r="F136" s="141" t="s">
        <v>6</v>
      </c>
      <c r="G136" s="141" t="s">
        <v>190</v>
      </c>
      <c r="H136" s="141" t="s">
        <v>109</v>
      </c>
      <c r="I136" s="122">
        <f>5285000/1000</f>
        <v>5285</v>
      </c>
      <c r="J136" s="134"/>
      <c r="K136" s="139">
        <f>3650220.53/1000</f>
        <v>3650.2205299999996</v>
      </c>
      <c r="L136" s="135">
        <f t="shared" si="1"/>
        <v>69.06755969725637</v>
      </c>
    </row>
    <row r="137" spans="1:12" ht="24" hidden="1">
      <c r="A137" s="94" t="s">
        <v>191</v>
      </c>
      <c r="B137" s="77"/>
      <c r="C137" s="77"/>
      <c r="D137" s="140" t="s">
        <v>65</v>
      </c>
      <c r="E137" s="141" t="s">
        <v>24</v>
      </c>
      <c r="F137" s="141" t="s">
        <v>6</v>
      </c>
      <c r="G137" s="141" t="s">
        <v>190</v>
      </c>
      <c r="H137" s="141" t="s">
        <v>192</v>
      </c>
      <c r="I137" s="122"/>
      <c r="J137" s="134"/>
      <c r="K137" s="139"/>
      <c r="L137" s="135" t="e">
        <f t="shared" si="1"/>
        <v>#DIV/0!</v>
      </c>
    </row>
    <row r="138" spans="1:12" ht="24" hidden="1">
      <c r="A138" s="95" t="s">
        <v>228</v>
      </c>
      <c r="B138" s="77"/>
      <c r="C138" s="77"/>
      <c r="D138" s="140" t="s">
        <v>65</v>
      </c>
      <c r="E138" s="141" t="s">
        <v>24</v>
      </c>
      <c r="F138" s="141" t="s">
        <v>6</v>
      </c>
      <c r="G138" s="141" t="s">
        <v>190</v>
      </c>
      <c r="H138" s="141" t="s">
        <v>111</v>
      </c>
      <c r="I138" s="122"/>
      <c r="J138" s="134"/>
      <c r="K138" s="139"/>
      <c r="L138" s="135" t="e">
        <f t="shared" si="1"/>
        <v>#DIV/0!</v>
      </c>
    </row>
    <row r="139" spans="1:12" ht="24" hidden="1">
      <c r="A139" s="95" t="s">
        <v>220</v>
      </c>
      <c r="B139" s="77"/>
      <c r="C139" s="77"/>
      <c r="D139" s="140" t="s">
        <v>65</v>
      </c>
      <c r="E139" s="141" t="s">
        <v>24</v>
      </c>
      <c r="F139" s="141" t="s">
        <v>6</v>
      </c>
      <c r="G139" s="141" t="s">
        <v>190</v>
      </c>
      <c r="H139" s="141" t="s">
        <v>145</v>
      </c>
      <c r="I139" s="122">
        <f>I140</f>
        <v>0</v>
      </c>
      <c r="J139" s="134"/>
      <c r="K139" s="139">
        <f>K140</f>
        <v>0</v>
      </c>
      <c r="L139" s="135" t="e">
        <f t="shared" si="1"/>
        <v>#DIV/0!</v>
      </c>
    </row>
    <row r="140" spans="1:12" ht="24" hidden="1">
      <c r="A140" s="95" t="s">
        <v>144</v>
      </c>
      <c r="B140" s="77"/>
      <c r="C140" s="77"/>
      <c r="D140" s="140" t="s">
        <v>65</v>
      </c>
      <c r="E140" s="141" t="s">
        <v>24</v>
      </c>
      <c r="F140" s="141" t="s">
        <v>6</v>
      </c>
      <c r="G140" s="141" t="s">
        <v>190</v>
      </c>
      <c r="H140" s="141" t="s">
        <v>146</v>
      </c>
      <c r="I140" s="122"/>
      <c r="J140" s="134"/>
      <c r="K140" s="139"/>
      <c r="L140" s="135" t="e">
        <f t="shared" si="1"/>
        <v>#DIV/0!</v>
      </c>
    </row>
    <row r="141" spans="1:12" ht="12">
      <c r="A141" s="74" t="s">
        <v>25</v>
      </c>
      <c r="B141" s="75" t="s">
        <v>80</v>
      </c>
      <c r="C141" s="75" t="s">
        <v>80</v>
      </c>
      <c r="D141" s="138" t="s">
        <v>65</v>
      </c>
      <c r="E141" s="133" t="s">
        <v>24</v>
      </c>
      <c r="F141" s="133" t="s">
        <v>8</v>
      </c>
      <c r="G141" s="133"/>
      <c r="H141" s="133"/>
      <c r="I141" s="121">
        <f>I162+I142</f>
        <v>2052.1485000000002</v>
      </c>
      <c r="J141" s="121">
        <f>J162+J142</f>
        <v>0</v>
      </c>
      <c r="K141" s="121">
        <f>K162+K142</f>
        <v>1568.79977</v>
      </c>
      <c r="L141" s="135">
        <f t="shared" si="1"/>
        <v>76.44669817998063</v>
      </c>
    </row>
    <row r="142" spans="1:12" ht="36">
      <c r="A142" s="96" t="s">
        <v>282</v>
      </c>
      <c r="B142" s="75"/>
      <c r="C142" s="75"/>
      <c r="D142" s="136" t="s">
        <v>65</v>
      </c>
      <c r="E142" s="137" t="s">
        <v>24</v>
      </c>
      <c r="F142" s="137" t="s">
        <v>8</v>
      </c>
      <c r="G142" s="137" t="s">
        <v>283</v>
      </c>
      <c r="H142" s="147"/>
      <c r="I142" s="121">
        <f>I143+I153+I160+I148</f>
        <v>1762.6367</v>
      </c>
      <c r="J142" s="121">
        <f>J143+J153+J160+J148</f>
        <v>0</v>
      </c>
      <c r="K142" s="121">
        <f>K143+K153+K160+K148</f>
        <v>1456.46848</v>
      </c>
      <c r="L142" s="135">
        <f t="shared" si="1"/>
        <v>82.63010068949545</v>
      </c>
    </row>
    <row r="143" spans="1:12" ht="48">
      <c r="A143" s="97" t="s">
        <v>296</v>
      </c>
      <c r="B143" s="75"/>
      <c r="C143" s="75"/>
      <c r="D143" s="148" t="s">
        <v>65</v>
      </c>
      <c r="E143" s="147" t="s">
        <v>24</v>
      </c>
      <c r="F143" s="147" t="s">
        <v>8</v>
      </c>
      <c r="G143" s="147" t="s">
        <v>284</v>
      </c>
      <c r="H143" s="147"/>
      <c r="I143" s="122">
        <f>I144+I146</f>
        <v>532.83136</v>
      </c>
      <c r="J143" s="134"/>
      <c r="K143" s="139">
        <f>K144+K146</f>
        <v>532.83136</v>
      </c>
      <c r="L143" s="135">
        <f t="shared" si="1"/>
        <v>100</v>
      </c>
    </row>
    <row r="144" spans="1:12" ht="24">
      <c r="A144" s="97" t="s">
        <v>227</v>
      </c>
      <c r="B144" s="75"/>
      <c r="C144" s="75"/>
      <c r="D144" s="148" t="s">
        <v>65</v>
      </c>
      <c r="E144" s="147" t="s">
        <v>24</v>
      </c>
      <c r="F144" s="147" t="s">
        <v>8</v>
      </c>
      <c r="G144" s="147" t="s">
        <v>284</v>
      </c>
      <c r="H144" s="147" t="s">
        <v>166</v>
      </c>
      <c r="I144" s="122">
        <f>I145</f>
        <v>444.02613</v>
      </c>
      <c r="J144" s="134"/>
      <c r="K144" s="142">
        <f>K145</f>
        <v>444.02613</v>
      </c>
      <c r="L144" s="135">
        <f aca="true" t="shared" si="2" ref="L144:L214">K144/I144*100</f>
        <v>100</v>
      </c>
    </row>
    <row r="145" spans="1:12" ht="24">
      <c r="A145" s="99" t="s">
        <v>108</v>
      </c>
      <c r="B145" s="75"/>
      <c r="C145" s="75"/>
      <c r="D145" s="148" t="s">
        <v>65</v>
      </c>
      <c r="E145" s="147" t="s">
        <v>24</v>
      </c>
      <c r="F145" s="147" t="s">
        <v>8</v>
      </c>
      <c r="G145" s="147" t="s">
        <v>284</v>
      </c>
      <c r="H145" s="147" t="s">
        <v>109</v>
      </c>
      <c r="I145" s="122">
        <f>444026.13/1000</f>
        <v>444.02613</v>
      </c>
      <c r="J145" s="134"/>
      <c r="K145" s="142">
        <f>444026.13/1000</f>
        <v>444.02613</v>
      </c>
      <c r="L145" s="135">
        <f t="shared" si="2"/>
        <v>100</v>
      </c>
    </row>
    <row r="146" spans="1:12" ht="12">
      <c r="A146" s="100" t="s">
        <v>40</v>
      </c>
      <c r="B146" s="75"/>
      <c r="C146" s="75"/>
      <c r="D146" s="148" t="s">
        <v>65</v>
      </c>
      <c r="E146" s="147" t="s">
        <v>24</v>
      </c>
      <c r="F146" s="147" t="s">
        <v>8</v>
      </c>
      <c r="G146" s="147" t="s">
        <v>284</v>
      </c>
      <c r="H146" s="147" t="s">
        <v>172</v>
      </c>
      <c r="I146" s="122">
        <f>I147</f>
        <v>88.80523</v>
      </c>
      <c r="J146" s="134"/>
      <c r="K146" s="139">
        <f>K147</f>
        <v>88.80523</v>
      </c>
      <c r="L146" s="135">
        <f t="shared" si="2"/>
        <v>100</v>
      </c>
    </row>
    <row r="147" spans="1:12" ht="48">
      <c r="A147" s="100" t="s">
        <v>297</v>
      </c>
      <c r="B147" s="75"/>
      <c r="C147" s="75"/>
      <c r="D147" s="148" t="s">
        <v>65</v>
      </c>
      <c r="E147" s="147" t="s">
        <v>24</v>
      </c>
      <c r="F147" s="147" t="s">
        <v>8</v>
      </c>
      <c r="G147" s="147" t="s">
        <v>284</v>
      </c>
      <c r="H147" s="147" t="s">
        <v>225</v>
      </c>
      <c r="I147" s="122">
        <f>88805.23/1000</f>
        <v>88.80523</v>
      </c>
      <c r="J147" s="134"/>
      <c r="K147" s="142">
        <f>88805.23/1000</f>
        <v>88.80523</v>
      </c>
      <c r="L147" s="135">
        <f t="shared" si="2"/>
        <v>100</v>
      </c>
    </row>
    <row r="148" spans="1:12" ht="36">
      <c r="A148" s="97" t="s">
        <v>298</v>
      </c>
      <c r="B148" s="75"/>
      <c r="C148" s="75"/>
      <c r="D148" s="148" t="s">
        <v>65</v>
      </c>
      <c r="E148" s="147" t="s">
        <v>24</v>
      </c>
      <c r="F148" s="147" t="s">
        <v>8</v>
      </c>
      <c r="G148" s="147" t="s">
        <v>284</v>
      </c>
      <c r="H148" s="147"/>
      <c r="I148" s="122">
        <f>I150+I151</f>
        <v>827.06638</v>
      </c>
      <c r="J148" s="134"/>
      <c r="K148" s="139">
        <f>K149+K151</f>
        <v>713.51676</v>
      </c>
      <c r="L148" s="135">
        <f t="shared" si="2"/>
        <v>86.27079727264456</v>
      </c>
    </row>
    <row r="149" spans="1:12" ht="24">
      <c r="A149" s="97" t="s">
        <v>227</v>
      </c>
      <c r="B149" s="75"/>
      <c r="C149" s="75"/>
      <c r="D149" s="148" t="s">
        <v>65</v>
      </c>
      <c r="E149" s="147" t="s">
        <v>24</v>
      </c>
      <c r="F149" s="147" t="s">
        <v>8</v>
      </c>
      <c r="G149" s="147" t="s">
        <v>284</v>
      </c>
      <c r="H149" s="147" t="s">
        <v>166</v>
      </c>
      <c r="I149" s="122">
        <f>I150</f>
        <v>689.22198</v>
      </c>
      <c r="J149" s="134"/>
      <c r="K149" s="142">
        <f>K150</f>
        <v>575.67236</v>
      </c>
      <c r="L149" s="135">
        <f t="shared" si="2"/>
        <v>83.52495664749404</v>
      </c>
    </row>
    <row r="150" spans="1:12" ht="24">
      <c r="A150" s="99" t="s">
        <v>108</v>
      </c>
      <c r="B150" s="75"/>
      <c r="C150" s="75"/>
      <c r="D150" s="148" t="s">
        <v>65</v>
      </c>
      <c r="E150" s="147" t="s">
        <v>24</v>
      </c>
      <c r="F150" s="147" t="s">
        <v>8</v>
      </c>
      <c r="G150" s="147" t="s">
        <v>284</v>
      </c>
      <c r="H150" s="147" t="s">
        <v>109</v>
      </c>
      <c r="I150" s="122">
        <v>689.22198</v>
      </c>
      <c r="J150" s="134"/>
      <c r="K150" s="142">
        <f>575672.36/1000</f>
        <v>575.67236</v>
      </c>
      <c r="L150" s="135">
        <f t="shared" si="2"/>
        <v>83.52495664749404</v>
      </c>
    </row>
    <row r="151" spans="1:12" ht="12">
      <c r="A151" s="100" t="s">
        <v>40</v>
      </c>
      <c r="B151" s="75"/>
      <c r="C151" s="75"/>
      <c r="D151" s="148" t="s">
        <v>65</v>
      </c>
      <c r="E151" s="147" t="s">
        <v>24</v>
      </c>
      <c r="F151" s="147" t="s">
        <v>8</v>
      </c>
      <c r="G151" s="147" t="s">
        <v>284</v>
      </c>
      <c r="H151" s="147" t="s">
        <v>172</v>
      </c>
      <c r="I151" s="122">
        <f>I152</f>
        <v>137.8444</v>
      </c>
      <c r="J151" s="134"/>
      <c r="K151" s="139">
        <f>K152</f>
        <v>137.8444</v>
      </c>
      <c r="L151" s="135">
        <f t="shared" si="2"/>
        <v>100</v>
      </c>
    </row>
    <row r="152" spans="1:12" ht="48">
      <c r="A152" s="100" t="s">
        <v>299</v>
      </c>
      <c r="B152" s="75"/>
      <c r="C152" s="75"/>
      <c r="D152" s="148" t="s">
        <v>65</v>
      </c>
      <c r="E152" s="147" t="s">
        <v>24</v>
      </c>
      <c r="F152" s="147" t="s">
        <v>8</v>
      </c>
      <c r="G152" s="147" t="s">
        <v>284</v>
      </c>
      <c r="H152" s="147" t="s">
        <v>225</v>
      </c>
      <c r="I152" s="122">
        <v>137.8444</v>
      </c>
      <c r="J152" s="134"/>
      <c r="K152" s="139">
        <v>137.8444</v>
      </c>
      <c r="L152" s="135">
        <f t="shared" si="2"/>
        <v>100</v>
      </c>
    </row>
    <row r="153" spans="1:12" ht="36">
      <c r="A153" s="97" t="s">
        <v>285</v>
      </c>
      <c r="B153" s="75"/>
      <c r="C153" s="75"/>
      <c r="D153" s="148" t="s">
        <v>65</v>
      </c>
      <c r="E153" s="147" t="s">
        <v>24</v>
      </c>
      <c r="F153" s="147" t="s">
        <v>8</v>
      </c>
      <c r="G153" s="147" t="s">
        <v>286</v>
      </c>
      <c r="H153" s="147"/>
      <c r="I153" s="122">
        <f>I154+I156</f>
        <v>332.26709000000005</v>
      </c>
      <c r="J153" s="134"/>
      <c r="K153" s="139">
        <f>K154+K156</f>
        <v>139.64848999999998</v>
      </c>
      <c r="L153" s="135">
        <f t="shared" si="2"/>
        <v>42.02898637960201</v>
      </c>
    </row>
    <row r="154" spans="1:12" ht="24">
      <c r="A154" s="97" t="s">
        <v>227</v>
      </c>
      <c r="B154" s="75"/>
      <c r="C154" s="75"/>
      <c r="D154" s="148" t="s">
        <v>65</v>
      </c>
      <c r="E154" s="147" t="s">
        <v>24</v>
      </c>
      <c r="F154" s="147" t="s">
        <v>8</v>
      </c>
      <c r="G154" s="147" t="s">
        <v>286</v>
      </c>
      <c r="H154" s="147" t="s">
        <v>166</v>
      </c>
      <c r="I154" s="122">
        <f>I155</f>
        <v>288.9279</v>
      </c>
      <c r="J154" s="134"/>
      <c r="K154" s="139">
        <f>K155</f>
        <v>96.3093</v>
      </c>
      <c r="L154" s="135">
        <f t="shared" si="2"/>
        <v>33.33333333333333</v>
      </c>
    </row>
    <row r="155" spans="1:12" ht="24">
      <c r="A155" s="99" t="s">
        <v>108</v>
      </c>
      <c r="B155" s="75"/>
      <c r="C155" s="75"/>
      <c r="D155" s="148" t="s">
        <v>65</v>
      </c>
      <c r="E155" s="147" t="s">
        <v>24</v>
      </c>
      <c r="F155" s="147" t="s">
        <v>8</v>
      </c>
      <c r="G155" s="147" t="s">
        <v>286</v>
      </c>
      <c r="H155" s="147" t="s">
        <v>109</v>
      </c>
      <c r="I155" s="122">
        <v>288.9279</v>
      </c>
      <c r="J155" s="134"/>
      <c r="K155" s="139">
        <v>96.3093</v>
      </c>
      <c r="L155" s="135">
        <f t="shared" si="2"/>
        <v>33.33333333333333</v>
      </c>
    </row>
    <row r="156" spans="1:12" ht="12">
      <c r="A156" s="116" t="s">
        <v>40</v>
      </c>
      <c r="B156" s="75"/>
      <c r="C156" s="75"/>
      <c r="D156" s="148" t="s">
        <v>65</v>
      </c>
      <c r="E156" s="147" t="s">
        <v>24</v>
      </c>
      <c r="F156" s="147" t="s">
        <v>8</v>
      </c>
      <c r="G156" s="147" t="s">
        <v>286</v>
      </c>
      <c r="H156" s="147" t="s">
        <v>172</v>
      </c>
      <c r="I156" s="122">
        <f>I157</f>
        <v>43.33919</v>
      </c>
      <c r="J156" s="134"/>
      <c r="K156" s="139">
        <f>K157</f>
        <v>43.33919</v>
      </c>
      <c r="L156" s="135">
        <f t="shared" si="2"/>
        <v>100</v>
      </c>
    </row>
    <row r="157" spans="1:12" ht="60">
      <c r="A157" s="116" t="s">
        <v>287</v>
      </c>
      <c r="B157" s="75"/>
      <c r="C157" s="75"/>
      <c r="D157" s="148" t="s">
        <v>65</v>
      </c>
      <c r="E157" s="147" t="s">
        <v>24</v>
      </c>
      <c r="F157" s="147" t="s">
        <v>8</v>
      </c>
      <c r="G157" s="147" t="s">
        <v>286</v>
      </c>
      <c r="H157" s="147" t="s">
        <v>225</v>
      </c>
      <c r="I157" s="122">
        <v>43.33919</v>
      </c>
      <c r="J157" s="134"/>
      <c r="K157" s="139">
        <f>43.33919</f>
        <v>43.33919</v>
      </c>
      <c r="L157" s="135">
        <f t="shared" si="2"/>
        <v>100</v>
      </c>
    </row>
    <row r="158" spans="1:12" ht="36">
      <c r="A158" s="99" t="s">
        <v>300</v>
      </c>
      <c r="B158" s="75"/>
      <c r="C158" s="75"/>
      <c r="D158" s="148" t="s">
        <v>65</v>
      </c>
      <c r="E158" s="147" t="s">
        <v>24</v>
      </c>
      <c r="F158" s="147" t="s">
        <v>8</v>
      </c>
      <c r="G158" s="147" t="s">
        <v>302</v>
      </c>
      <c r="H158" s="147"/>
      <c r="I158" s="122">
        <f>I159</f>
        <v>70.47187</v>
      </c>
      <c r="J158" s="134"/>
      <c r="K158" s="139">
        <f>K159</f>
        <v>70.47187</v>
      </c>
      <c r="L158" s="135">
        <f t="shared" si="2"/>
        <v>100</v>
      </c>
    </row>
    <row r="159" spans="1:12" ht="12">
      <c r="A159" s="99" t="s">
        <v>301</v>
      </c>
      <c r="B159" s="75"/>
      <c r="C159" s="75"/>
      <c r="D159" s="148" t="s">
        <v>65</v>
      </c>
      <c r="E159" s="147" t="s">
        <v>24</v>
      </c>
      <c r="F159" s="147" t="s">
        <v>8</v>
      </c>
      <c r="G159" s="147" t="s">
        <v>303</v>
      </c>
      <c r="H159" s="147"/>
      <c r="I159" s="122">
        <f>I160</f>
        <v>70.47187</v>
      </c>
      <c r="J159" s="134"/>
      <c r="K159" s="139">
        <f>K160</f>
        <v>70.47187</v>
      </c>
      <c r="L159" s="135">
        <f t="shared" si="2"/>
        <v>100</v>
      </c>
    </row>
    <row r="160" spans="1:12" ht="24">
      <c r="A160" s="97" t="s">
        <v>227</v>
      </c>
      <c r="B160" s="75"/>
      <c r="C160" s="75"/>
      <c r="D160" s="148" t="s">
        <v>65</v>
      </c>
      <c r="E160" s="147" t="s">
        <v>24</v>
      </c>
      <c r="F160" s="147" t="s">
        <v>8</v>
      </c>
      <c r="G160" s="147" t="s">
        <v>303</v>
      </c>
      <c r="H160" s="147" t="s">
        <v>166</v>
      </c>
      <c r="I160" s="122">
        <f>I161</f>
        <v>70.47187</v>
      </c>
      <c r="J160" s="134"/>
      <c r="K160" s="139">
        <f>K161</f>
        <v>70.47187</v>
      </c>
      <c r="L160" s="135">
        <f t="shared" si="2"/>
        <v>100</v>
      </c>
    </row>
    <row r="161" spans="1:12" ht="24">
      <c r="A161" s="99" t="s">
        <v>108</v>
      </c>
      <c r="B161" s="75"/>
      <c r="C161" s="75"/>
      <c r="D161" s="148" t="s">
        <v>65</v>
      </c>
      <c r="E161" s="147" t="s">
        <v>24</v>
      </c>
      <c r="F161" s="147" t="s">
        <v>8</v>
      </c>
      <c r="G161" s="147" t="s">
        <v>303</v>
      </c>
      <c r="H161" s="147" t="s">
        <v>109</v>
      </c>
      <c r="I161" s="122">
        <v>70.47187</v>
      </c>
      <c r="J161" s="134"/>
      <c r="K161" s="139">
        <f>70471.87/1000</f>
        <v>70.47187</v>
      </c>
      <c r="L161" s="135">
        <f t="shared" si="2"/>
        <v>100</v>
      </c>
    </row>
    <row r="162" spans="1:12" ht="12">
      <c r="A162" s="91" t="s">
        <v>122</v>
      </c>
      <c r="B162" s="75"/>
      <c r="C162" s="75" t="s">
        <v>80</v>
      </c>
      <c r="D162" s="138" t="s">
        <v>65</v>
      </c>
      <c r="E162" s="133" t="s">
        <v>24</v>
      </c>
      <c r="F162" s="133" t="s">
        <v>8</v>
      </c>
      <c r="G162" s="133" t="s">
        <v>193</v>
      </c>
      <c r="H162" s="133"/>
      <c r="I162" s="121">
        <f>I163</f>
        <v>289.5118</v>
      </c>
      <c r="J162" s="153"/>
      <c r="K162" s="135">
        <f>K163</f>
        <v>112.33129</v>
      </c>
      <c r="L162" s="135">
        <f t="shared" si="2"/>
        <v>38.8002457930903</v>
      </c>
    </row>
    <row r="163" spans="1:12" ht="12">
      <c r="A163" s="78" t="s">
        <v>93</v>
      </c>
      <c r="B163" s="75"/>
      <c r="C163" s="77" t="s">
        <v>80</v>
      </c>
      <c r="D163" s="140" t="s">
        <v>65</v>
      </c>
      <c r="E163" s="141" t="s">
        <v>24</v>
      </c>
      <c r="F163" s="141" t="s">
        <v>8</v>
      </c>
      <c r="G163" s="141" t="s">
        <v>194</v>
      </c>
      <c r="H163" s="141"/>
      <c r="I163" s="122">
        <f>I164</f>
        <v>289.5118</v>
      </c>
      <c r="J163" s="134"/>
      <c r="K163" s="139">
        <f>K164</f>
        <v>112.33129</v>
      </c>
      <c r="L163" s="135">
        <f t="shared" si="2"/>
        <v>38.8002457930903</v>
      </c>
    </row>
    <row r="164" spans="1:12" ht="24">
      <c r="A164" s="94" t="s">
        <v>227</v>
      </c>
      <c r="B164" s="75"/>
      <c r="C164" s="77" t="s">
        <v>80</v>
      </c>
      <c r="D164" s="140" t="s">
        <v>65</v>
      </c>
      <c r="E164" s="141" t="s">
        <v>24</v>
      </c>
      <c r="F164" s="141" t="s">
        <v>8</v>
      </c>
      <c r="G164" s="141" t="s">
        <v>194</v>
      </c>
      <c r="H164" s="141" t="s">
        <v>166</v>
      </c>
      <c r="I164" s="122">
        <f>I165</f>
        <v>289.5118</v>
      </c>
      <c r="J164" s="134"/>
      <c r="K164" s="139">
        <f>K165</f>
        <v>112.33129</v>
      </c>
      <c r="L164" s="135">
        <f t="shared" si="2"/>
        <v>38.8002457930903</v>
      </c>
    </row>
    <row r="165" spans="1:12" ht="24">
      <c r="A165" s="78" t="s">
        <v>108</v>
      </c>
      <c r="B165" s="75"/>
      <c r="C165" s="77"/>
      <c r="D165" s="140" t="s">
        <v>65</v>
      </c>
      <c r="E165" s="141" t="s">
        <v>24</v>
      </c>
      <c r="F165" s="141" t="s">
        <v>8</v>
      </c>
      <c r="G165" s="141" t="s">
        <v>194</v>
      </c>
      <c r="H165" s="141" t="s">
        <v>109</v>
      </c>
      <c r="I165" s="122">
        <f>289511.8/1000</f>
        <v>289.5118</v>
      </c>
      <c r="J165" s="134"/>
      <c r="K165" s="139">
        <f>112.33129</f>
        <v>112.33129</v>
      </c>
      <c r="L165" s="135">
        <f t="shared" si="2"/>
        <v>38.8002457930903</v>
      </c>
    </row>
    <row r="166" spans="1:12" ht="12">
      <c r="A166" s="74" t="s">
        <v>54</v>
      </c>
      <c r="B166" s="70" t="s">
        <v>80</v>
      </c>
      <c r="C166" s="70" t="s">
        <v>80</v>
      </c>
      <c r="D166" s="133" t="s">
        <v>65</v>
      </c>
      <c r="E166" s="133" t="s">
        <v>24</v>
      </c>
      <c r="F166" s="133" t="s">
        <v>9</v>
      </c>
      <c r="G166" s="133"/>
      <c r="H166" s="133"/>
      <c r="I166" s="121">
        <f>I167+I171+I191+I205</f>
        <v>8472.695605</v>
      </c>
      <c r="J166" s="134"/>
      <c r="K166" s="135">
        <f>K167+K171+K191</f>
        <v>5893.892239999999</v>
      </c>
      <c r="L166" s="135">
        <f t="shared" si="2"/>
        <v>69.56336583745355</v>
      </c>
    </row>
    <row r="167" spans="1:12" ht="36">
      <c r="A167" s="74" t="s">
        <v>276</v>
      </c>
      <c r="B167" s="70"/>
      <c r="C167" s="70"/>
      <c r="D167" s="133" t="s">
        <v>65</v>
      </c>
      <c r="E167" s="133" t="s">
        <v>24</v>
      </c>
      <c r="F167" s="133" t="s">
        <v>9</v>
      </c>
      <c r="G167" s="133" t="s">
        <v>164</v>
      </c>
      <c r="H167" s="133"/>
      <c r="I167" s="121">
        <f>I168</f>
        <v>350</v>
      </c>
      <c r="J167" s="153"/>
      <c r="K167" s="135">
        <f>K168</f>
        <v>246.44963</v>
      </c>
      <c r="L167" s="135">
        <f t="shared" si="2"/>
        <v>70.41418</v>
      </c>
    </row>
    <row r="168" spans="1:12" ht="24">
      <c r="A168" s="81" t="s">
        <v>177</v>
      </c>
      <c r="B168" s="75"/>
      <c r="C168" s="75"/>
      <c r="D168" s="140" t="s">
        <v>65</v>
      </c>
      <c r="E168" s="141" t="s">
        <v>24</v>
      </c>
      <c r="F168" s="141" t="s">
        <v>9</v>
      </c>
      <c r="G168" s="141" t="s">
        <v>167</v>
      </c>
      <c r="H168" s="141"/>
      <c r="I168" s="122">
        <f>I169</f>
        <v>350</v>
      </c>
      <c r="J168" s="134"/>
      <c r="K168" s="139">
        <f>K169</f>
        <v>246.44963</v>
      </c>
      <c r="L168" s="135">
        <f t="shared" si="2"/>
        <v>70.41418</v>
      </c>
    </row>
    <row r="169" spans="1:12" ht="24">
      <c r="A169" s="80" t="s">
        <v>227</v>
      </c>
      <c r="B169" s="75"/>
      <c r="C169" s="75"/>
      <c r="D169" s="140" t="s">
        <v>65</v>
      </c>
      <c r="E169" s="141" t="s">
        <v>24</v>
      </c>
      <c r="F169" s="141" t="s">
        <v>9</v>
      </c>
      <c r="G169" s="141" t="s">
        <v>167</v>
      </c>
      <c r="H169" s="141" t="s">
        <v>166</v>
      </c>
      <c r="I169" s="122">
        <f>I170</f>
        <v>350</v>
      </c>
      <c r="J169" s="134"/>
      <c r="K169" s="139">
        <f>K170</f>
        <v>246.44963</v>
      </c>
      <c r="L169" s="135">
        <f t="shared" si="2"/>
        <v>70.41418</v>
      </c>
    </row>
    <row r="170" spans="1:12" ht="24">
      <c r="A170" s="78" t="s">
        <v>108</v>
      </c>
      <c r="B170" s="75"/>
      <c r="C170" s="75"/>
      <c r="D170" s="140" t="s">
        <v>65</v>
      </c>
      <c r="E170" s="141" t="s">
        <v>24</v>
      </c>
      <c r="F170" s="141" t="s">
        <v>9</v>
      </c>
      <c r="G170" s="141" t="s">
        <v>167</v>
      </c>
      <c r="H170" s="141" t="s">
        <v>109</v>
      </c>
      <c r="I170" s="122">
        <f>150000/1000+200000/1000</f>
        <v>350</v>
      </c>
      <c r="J170" s="134"/>
      <c r="K170" s="139">
        <v>246.44963</v>
      </c>
      <c r="L170" s="135">
        <f t="shared" si="2"/>
        <v>70.41418</v>
      </c>
    </row>
    <row r="171" spans="1:12" ht="48">
      <c r="A171" s="104" t="s">
        <v>288</v>
      </c>
      <c r="B171" s="73"/>
      <c r="C171" s="73"/>
      <c r="D171" s="137" t="s">
        <v>65</v>
      </c>
      <c r="E171" s="137" t="s">
        <v>24</v>
      </c>
      <c r="F171" s="137" t="s">
        <v>9</v>
      </c>
      <c r="G171" s="137" t="s">
        <v>275</v>
      </c>
      <c r="H171" s="137"/>
      <c r="I171" s="121">
        <f>I172+I175+I178</f>
        <v>2673.1259999999997</v>
      </c>
      <c r="J171" s="153"/>
      <c r="K171" s="135">
        <f>K172+K175+K178</f>
        <v>2673.1259999999997</v>
      </c>
      <c r="L171" s="135">
        <f t="shared" si="2"/>
        <v>100</v>
      </c>
    </row>
    <row r="172" spans="1:12" ht="24">
      <c r="A172" s="97" t="s">
        <v>227</v>
      </c>
      <c r="B172" s="72"/>
      <c r="C172" s="72"/>
      <c r="D172" s="148" t="s">
        <v>65</v>
      </c>
      <c r="E172" s="147" t="s">
        <v>24</v>
      </c>
      <c r="F172" s="147" t="s">
        <v>9</v>
      </c>
      <c r="G172" s="147" t="s">
        <v>274</v>
      </c>
      <c r="H172" s="147" t="s">
        <v>166</v>
      </c>
      <c r="I172" s="122">
        <f>I173</f>
        <v>2065.4208</v>
      </c>
      <c r="J172" s="134"/>
      <c r="K172" s="139">
        <f>K173</f>
        <v>2065.4208</v>
      </c>
      <c r="L172" s="135">
        <f t="shared" si="2"/>
        <v>100</v>
      </c>
    </row>
    <row r="173" spans="1:12" ht="24">
      <c r="A173" s="99" t="s">
        <v>108</v>
      </c>
      <c r="B173" s="72"/>
      <c r="C173" s="72"/>
      <c r="D173" s="148" t="s">
        <v>65</v>
      </c>
      <c r="E173" s="147" t="s">
        <v>24</v>
      </c>
      <c r="F173" s="147" t="s">
        <v>9</v>
      </c>
      <c r="G173" s="147" t="s">
        <v>274</v>
      </c>
      <c r="H173" s="147" t="s">
        <v>109</v>
      </c>
      <c r="I173" s="122">
        <f>2065420.8/1000</f>
        <v>2065.4208</v>
      </c>
      <c r="J173" s="134"/>
      <c r="K173" s="139">
        <v>2065.4208</v>
      </c>
      <c r="L173" s="135">
        <f t="shared" si="2"/>
        <v>100</v>
      </c>
    </row>
    <row r="174" spans="1:12" ht="36" hidden="1">
      <c r="A174" s="101" t="s">
        <v>289</v>
      </c>
      <c r="B174" s="73"/>
      <c r="C174" s="73"/>
      <c r="D174" s="147" t="s">
        <v>65</v>
      </c>
      <c r="E174" s="147" t="s">
        <v>24</v>
      </c>
      <c r="F174" s="147" t="s">
        <v>9</v>
      </c>
      <c r="G174" s="147" t="s">
        <v>290</v>
      </c>
      <c r="H174" s="137"/>
      <c r="I174" s="122">
        <f>I175</f>
        <v>0</v>
      </c>
      <c r="J174" s="134"/>
      <c r="K174" s="139">
        <f>K175</f>
        <v>0</v>
      </c>
      <c r="L174" s="135" t="e">
        <f t="shared" si="2"/>
        <v>#DIV/0!</v>
      </c>
    </row>
    <row r="175" spans="1:12" ht="24" hidden="1">
      <c r="A175" s="97" t="s">
        <v>227</v>
      </c>
      <c r="B175" s="72"/>
      <c r="C175" s="72"/>
      <c r="D175" s="148" t="s">
        <v>65</v>
      </c>
      <c r="E175" s="147" t="s">
        <v>24</v>
      </c>
      <c r="F175" s="147" t="s">
        <v>9</v>
      </c>
      <c r="G175" s="147" t="s">
        <v>290</v>
      </c>
      <c r="H175" s="147" t="s">
        <v>166</v>
      </c>
      <c r="I175" s="122">
        <f>I176</f>
        <v>0</v>
      </c>
      <c r="J175" s="134"/>
      <c r="K175" s="139">
        <f>K176</f>
        <v>0</v>
      </c>
      <c r="L175" s="135" t="e">
        <f t="shared" si="2"/>
        <v>#DIV/0!</v>
      </c>
    </row>
    <row r="176" spans="1:12" ht="24" hidden="1">
      <c r="A176" s="99" t="s">
        <v>108</v>
      </c>
      <c r="B176" s="72"/>
      <c r="C176" s="72"/>
      <c r="D176" s="148" t="s">
        <v>65</v>
      </c>
      <c r="E176" s="147" t="s">
        <v>24</v>
      </c>
      <c r="F176" s="147" t="s">
        <v>9</v>
      </c>
      <c r="G176" s="147" t="s">
        <v>290</v>
      </c>
      <c r="H176" s="147" t="s">
        <v>109</v>
      </c>
      <c r="I176" s="122"/>
      <c r="J176" s="134"/>
      <c r="K176" s="139"/>
      <c r="L176" s="135" t="e">
        <f t="shared" si="2"/>
        <v>#DIV/0!</v>
      </c>
    </row>
    <row r="177" spans="1:12" ht="24">
      <c r="A177" s="97" t="s">
        <v>227</v>
      </c>
      <c r="B177" s="72"/>
      <c r="C177" s="72"/>
      <c r="D177" s="148" t="s">
        <v>65</v>
      </c>
      <c r="E177" s="147" t="s">
        <v>24</v>
      </c>
      <c r="F177" s="147" t="s">
        <v>9</v>
      </c>
      <c r="G177" s="147" t="s">
        <v>244</v>
      </c>
      <c r="H177" s="147" t="s">
        <v>166</v>
      </c>
      <c r="I177" s="122">
        <f>I178</f>
        <v>607.7052</v>
      </c>
      <c r="J177" s="134"/>
      <c r="K177" s="139">
        <f>K178</f>
        <v>607.7052</v>
      </c>
      <c r="L177" s="135">
        <f t="shared" si="2"/>
        <v>100</v>
      </c>
    </row>
    <row r="178" spans="1:12" ht="24">
      <c r="A178" s="99" t="s">
        <v>108</v>
      </c>
      <c r="B178" s="72"/>
      <c r="C178" s="72"/>
      <c r="D178" s="148" t="s">
        <v>65</v>
      </c>
      <c r="E178" s="147" t="s">
        <v>24</v>
      </c>
      <c r="F178" s="147" t="s">
        <v>9</v>
      </c>
      <c r="G178" s="147" t="s">
        <v>244</v>
      </c>
      <c r="H178" s="147" t="s">
        <v>109</v>
      </c>
      <c r="I178" s="122">
        <f>600000/1000-340000/1000+347705.2/1000</f>
        <v>607.7052</v>
      </c>
      <c r="J178" s="134"/>
      <c r="K178" s="139">
        <f>607.7052</f>
        <v>607.7052</v>
      </c>
      <c r="L178" s="135">
        <f t="shared" si="2"/>
        <v>100</v>
      </c>
    </row>
    <row r="179" spans="1:12" ht="24" hidden="1">
      <c r="A179" s="101" t="s">
        <v>266</v>
      </c>
      <c r="B179" s="73"/>
      <c r="C179" s="73"/>
      <c r="D179" s="147" t="s">
        <v>65</v>
      </c>
      <c r="E179" s="147" t="s">
        <v>24</v>
      </c>
      <c r="F179" s="147" t="s">
        <v>9</v>
      </c>
      <c r="G179" s="147" t="s">
        <v>267</v>
      </c>
      <c r="H179" s="137"/>
      <c r="I179" s="122">
        <f>I180+I182</f>
        <v>0</v>
      </c>
      <c r="J179" s="134"/>
      <c r="K179" s="139">
        <f>K180+K182</f>
        <v>0</v>
      </c>
      <c r="L179" s="135" t="e">
        <f t="shared" si="2"/>
        <v>#DIV/0!</v>
      </c>
    </row>
    <row r="180" spans="1:12" ht="12" hidden="1">
      <c r="A180" s="97" t="s">
        <v>40</v>
      </c>
      <c r="B180" s="72"/>
      <c r="C180" s="72"/>
      <c r="D180" s="148" t="s">
        <v>65</v>
      </c>
      <c r="E180" s="147" t="s">
        <v>24</v>
      </c>
      <c r="F180" s="147" t="s">
        <v>9</v>
      </c>
      <c r="G180" s="147" t="s">
        <v>291</v>
      </c>
      <c r="H180" s="147" t="s">
        <v>172</v>
      </c>
      <c r="I180" s="122">
        <f>I181</f>
        <v>0</v>
      </c>
      <c r="J180" s="134"/>
      <c r="K180" s="139">
        <f>K181</f>
        <v>0</v>
      </c>
      <c r="L180" s="135" t="e">
        <f t="shared" si="2"/>
        <v>#DIV/0!</v>
      </c>
    </row>
    <row r="181" spans="1:12" ht="12" hidden="1">
      <c r="A181" s="99" t="s">
        <v>226</v>
      </c>
      <c r="B181" s="72"/>
      <c r="C181" s="72"/>
      <c r="D181" s="148" t="s">
        <v>65</v>
      </c>
      <c r="E181" s="147" t="s">
        <v>24</v>
      </c>
      <c r="F181" s="147" t="s">
        <v>9</v>
      </c>
      <c r="G181" s="147" t="s">
        <v>291</v>
      </c>
      <c r="H181" s="147" t="s">
        <v>225</v>
      </c>
      <c r="I181" s="122"/>
      <c r="J181" s="134"/>
      <c r="K181" s="139"/>
      <c r="L181" s="135" t="e">
        <f t="shared" si="2"/>
        <v>#DIV/0!</v>
      </c>
    </row>
    <row r="182" spans="1:12" ht="24" hidden="1">
      <c r="A182" s="101" t="s">
        <v>266</v>
      </c>
      <c r="B182" s="73"/>
      <c r="C182" s="73"/>
      <c r="D182" s="147" t="s">
        <v>65</v>
      </c>
      <c r="E182" s="147" t="s">
        <v>24</v>
      </c>
      <c r="F182" s="147" t="s">
        <v>9</v>
      </c>
      <c r="G182" s="147" t="s">
        <v>267</v>
      </c>
      <c r="H182" s="137"/>
      <c r="I182" s="122">
        <f>I183</f>
        <v>0</v>
      </c>
      <c r="J182" s="134"/>
      <c r="K182" s="139">
        <f>K183</f>
        <v>0</v>
      </c>
      <c r="L182" s="135" t="e">
        <f t="shared" si="2"/>
        <v>#DIV/0!</v>
      </c>
    </row>
    <row r="183" spans="1:12" ht="12" hidden="1">
      <c r="A183" s="97" t="s">
        <v>40</v>
      </c>
      <c r="B183" s="72"/>
      <c r="C183" s="72"/>
      <c r="D183" s="148" t="s">
        <v>65</v>
      </c>
      <c r="E183" s="147" t="s">
        <v>24</v>
      </c>
      <c r="F183" s="147" t="s">
        <v>9</v>
      </c>
      <c r="G183" s="147" t="s">
        <v>268</v>
      </c>
      <c r="H183" s="147" t="s">
        <v>172</v>
      </c>
      <c r="I183" s="122">
        <f>I184</f>
        <v>0</v>
      </c>
      <c r="J183" s="134"/>
      <c r="K183" s="139">
        <f>K184</f>
        <v>0</v>
      </c>
      <c r="L183" s="135" t="e">
        <f t="shared" si="2"/>
        <v>#DIV/0!</v>
      </c>
    </row>
    <row r="184" spans="1:12" ht="12" hidden="1">
      <c r="A184" s="99" t="s">
        <v>226</v>
      </c>
      <c r="B184" s="72"/>
      <c r="C184" s="72"/>
      <c r="D184" s="148" t="s">
        <v>65</v>
      </c>
      <c r="E184" s="147" t="s">
        <v>24</v>
      </c>
      <c r="F184" s="147" t="s">
        <v>9</v>
      </c>
      <c r="G184" s="147" t="s">
        <v>268</v>
      </c>
      <c r="H184" s="147" t="s">
        <v>225</v>
      </c>
      <c r="I184" s="122"/>
      <c r="J184" s="134"/>
      <c r="K184" s="139"/>
      <c r="L184" s="135" t="e">
        <f t="shared" si="2"/>
        <v>#DIV/0!</v>
      </c>
    </row>
    <row r="185" spans="1:12" ht="24" hidden="1">
      <c r="A185" s="97" t="s">
        <v>227</v>
      </c>
      <c r="B185" s="72"/>
      <c r="C185" s="72"/>
      <c r="D185" s="148" t="s">
        <v>65</v>
      </c>
      <c r="E185" s="147" t="s">
        <v>24</v>
      </c>
      <c r="F185" s="147" t="s">
        <v>9</v>
      </c>
      <c r="G185" s="147" t="s">
        <v>244</v>
      </c>
      <c r="H185" s="147" t="s">
        <v>166</v>
      </c>
      <c r="I185" s="122">
        <f>I186</f>
        <v>0</v>
      </c>
      <c r="J185" s="134"/>
      <c r="K185" s="139">
        <f>K186</f>
        <v>0</v>
      </c>
      <c r="L185" s="135" t="e">
        <f t="shared" si="2"/>
        <v>#DIV/0!</v>
      </c>
    </row>
    <row r="186" spans="1:12" ht="24" hidden="1">
      <c r="A186" s="97" t="s">
        <v>163</v>
      </c>
      <c r="B186" s="72"/>
      <c r="C186" s="72"/>
      <c r="D186" s="148" t="s">
        <v>65</v>
      </c>
      <c r="E186" s="147" t="s">
        <v>24</v>
      </c>
      <c r="F186" s="147" t="s">
        <v>9</v>
      </c>
      <c r="G186" s="147" t="s">
        <v>244</v>
      </c>
      <c r="H186" s="147" t="s">
        <v>109</v>
      </c>
      <c r="I186" s="122"/>
      <c r="J186" s="134"/>
      <c r="K186" s="139"/>
      <c r="L186" s="135" t="e">
        <f t="shared" si="2"/>
        <v>#DIV/0!</v>
      </c>
    </row>
    <row r="187" spans="1:12" ht="36" hidden="1">
      <c r="A187" s="101" t="s">
        <v>253</v>
      </c>
      <c r="B187" s="73"/>
      <c r="C187" s="73"/>
      <c r="D187" s="147" t="s">
        <v>65</v>
      </c>
      <c r="E187" s="147" t="s">
        <v>24</v>
      </c>
      <c r="F187" s="147" t="s">
        <v>9</v>
      </c>
      <c r="G187" s="147" t="s">
        <v>252</v>
      </c>
      <c r="H187" s="137"/>
      <c r="I187" s="122">
        <f>I188</f>
        <v>0</v>
      </c>
      <c r="J187" s="134"/>
      <c r="K187" s="139">
        <f>K188</f>
        <v>0</v>
      </c>
      <c r="L187" s="135" t="e">
        <f t="shared" si="2"/>
        <v>#DIV/0!</v>
      </c>
    </row>
    <row r="188" spans="1:12" ht="36" hidden="1">
      <c r="A188" s="101" t="s">
        <v>254</v>
      </c>
      <c r="B188" s="72"/>
      <c r="C188" s="72"/>
      <c r="D188" s="148" t="s">
        <v>65</v>
      </c>
      <c r="E188" s="147" t="s">
        <v>24</v>
      </c>
      <c r="F188" s="147" t="s">
        <v>9</v>
      </c>
      <c r="G188" s="147" t="s">
        <v>245</v>
      </c>
      <c r="H188" s="147"/>
      <c r="I188" s="122">
        <f>I189</f>
        <v>0</v>
      </c>
      <c r="J188" s="134"/>
      <c r="K188" s="139">
        <f>K189</f>
        <v>0</v>
      </c>
      <c r="L188" s="135" t="e">
        <f t="shared" si="2"/>
        <v>#DIV/0!</v>
      </c>
    </row>
    <row r="189" spans="1:12" ht="24" hidden="1">
      <c r="A189" s="97" t="s">
        <v>227</v>
      </c>
      <c r="B189" s="72"/>
      <c r="C189" s="72"/>
      <c r="D189" s="148" t="s">
        <v>65</v>
      </c>
      <c r="E189" s="147" t="s">
        <v>24</v>
      </c>
      <c r="F189" s="147" t="s">
        <v>9</v>
      </c>
      <c r="G189" s="147" t="s">
        <v>245</v>
      </c>
      <c r="H189" s="147" t="s">
        <v>166</v>
      </c>
      <c r="I189" s="122">
        <f>I190</f>
        <v>0</v>
      </c>
      <c r="J189" s="134"/>
      <c r="K189" s="139">
        <f>K190</f>
        <v>0</v>
      </c>
      <c r="L189" s="135" t="e">
        <f t="shared" si="2"/>
        <v>#DIV/0!</v>
      </c>
    </row>
    <row r="190" spans="1:12" ht="24" hidden="1">
      <c r="A190" s="97" t="s">
        <v>163</v>
      </c>
      <c r="B190" s="72"/>
      <c r="C190" s="72"/>
      <c r="D190" s="148" t="s">
        <v>65</v>
      </c>
      <c r="E190" s="147" t="s">
        <v>24</v>
      </c>
      <c r="F190" s="147" t="s">
        <v>9</v>
      </c>
      <c r="G190" s="147" t="s">
        <v>245</v>
      </c>
      <c r="H190" s="147" t="s">
        <v>109</v>
      </c>
      <c r="I190" s="122">
        <v>0</v>
      </c>
      <c r="J190" s="134"/>
      <c r="K190" s="139">
        <v>0</v>
      </c>
      <c r="L190" s="135" t="e">
        <f t="shared" si="2"/>
        <v>#DIV/0!</v>
      </c>
    </row>
    <row r="191" spans="1:12" ht="12">
      <c r="A191" s="104" t="s">
        <v>246</v>
      </c>
      <c r="B191" s="72"/>
      <c r="C191" s="72"/>
      <c r="D191" s="136" t="s">
        <v>65</v>
      </c>
      <c r="E191" s="137" t="s">
        <v>24</v>
      </c>
      <c r="F191" s="137" t="s">
        <v>9</v>
      </c>
      <c r="G191" s="137" t="s">
        <v>195</v>
      </c>
      <c r="H191" s="137"/>
      <c r="I191" s="121">
        <f>I195+I198+I201+I192</f>
        <v>5409.07115</v>
      </c>
      <c r="J191" s="121">
        <f>J195+J198+J201+J192</f>
        <v>0</v>
      </c>
      <c r="K191" s="121">
        <f>K195+K198+K201+K192</f>
        <v>2974.31661</v>
      </c>
      <c r="L191" s="135">
        <f>K191/I191*100</f>
        <v>54.98756676550649</v>
      </c>
    </row>
    <row r="192" spans="1:12" ht="24">
      <c r="A192" s="101" t="s">
        <v>304</v>
      </c>
      <c r="B192" s="98"/>
      <c r="C192" s="98"/>
      <c r="D192" s="98" t="s">
        <v>65</v>
      </c>
      <c r="E192" s="154" t="s">
        <v>24</v>
      </c>
      <c r="F192" s="154" t="s">
        <v>9</v>
      </c>
      <c r="G192" s="154" t="s">
        <v>305</v>
      </c>
      <c r="H192" s="154"/>
      <c r="I192" s="122">
        <f>I193</f>
        <v>1308.705</v>
      </c>
      <c r="J192" s="153"/>
      <c r="K192" s="135">
        <f>K193</f>
        <v>0</v>
      </c>
      <c r="L192" s="135">
        <f>K192/I192*100</f>
        <v>0</v>
      </c>
    </row>
    <row r="193" spans="1:12" ht="24">
      <c r="A193" s="102" t="s">
        <v>227</v>
      </c>
      <c r="B193" s="98"/>
      <c r="C193" s="98"/>
      <c r="D193" s="98" t="s">
        <v>65</v>
      </c>
      <c r="E193" s="154" t="s">
        <v>24</v>
      </c>
      <c r="F193" s="154" t="s">
        <v>9</v>
      </c>
      <c r="G193" s="154" t="s">
        <v>305</v>
      </c>
      <c r="H193" s="154" t="s">
        <v>166</v>
      </c>
      <c r="I193" s="122">
        <f>I194</f>
        <v>1308.705</v>
      </c>
      <c r="J193" s="153"/>
      <c r="K193" s="135">
        <f>K194</f>
        <v>0</v>
      </c>
      <c r="L193" s="135">
        <f>K193/I193*100</f>
        <v>0</v>
      </c>
    </row>
    <row r="194" spans="1:12" ht="24">
      <c r="A194" s="99" t="s">
        <v>108</v>
      </c>
      <c r="B194" s="98"/>
      <c r="C194" s="98"/>
      <c r="D194" s="98" t="s">
        <v>65</v>
      </c>
      <c r="E194" s="154" t="s">
        <v>24</v>
      </c>
      <c r="F194" s="154" t="s">
        <v>9</v>
      </c>
      <c r="G194" s="154" t="s">
        <v>305</v>
      </c>
      <c r="H194" s="154" t="s">
        <v>109</v>
      </c>
      <c r="I194" s="122">
        <v>1308.705</v>
      </c>
      <c r="J194" s="153"/>
      <c r="K194" s="135">
        <v>0</v>
      </c>
      <c r="L194" s="135">
        <f>K194/I194*100</f>
        <v>0</v>
      </c>
    </row>
    <row r="195" spans="1:12" ht="12">
      <c r="A195" s="104" t="s">
        <v>123</v>
      </c>
      <c r="B195" s="72"/>
      <c r="C195" s="72"/>
      <c r="D195" s="136" t="s">
        <v>65</v>
      </c>
      <c r="E195" s="137" t="s">
        <v>24</v>
      </c>
      <c r="F195" s="137" t="s">
        <v>9</v>
      </c>
      <c r="G195" s="137" t="s">
        <v>196</v>
      </c>
      <c r="H195" s="137"/>
      <c r="I195" s="121">
        <f>I196</f>
        <v>1715.6075</v>
      </c>
      <c r="J195" s="153"/>
      <c r="K195" s="135">
        <f>K196</f>
        <v>1030.36126</v>
      </c>
      <c r="L195" s="135">
        <f t="shared" si="2"/>
        <v>60.058099536170126</v>
      </c>
    </row>
    <row r="196" spans="1:12" ht="24">
      <c r="A196" s="102" t="s">
        <v>227</v>
      </c>
      <c r="B196" s="98"/>
      <c r="C196" s="98"/>
      <c r="D196" s="148" t="s">
        <v>65</v>
      </c>
      <c r="E196" s="147" t="s">
        <v>24</v>
      </c>
      <c r="F196" s="147" t="s">
        <v>9</v>
      </c>
      <c r="G196" s="147" t="s">
        <v>196</v>
      </c>
      <c r="H196" s="147" t="s">
        <v>166</v>
      </c>
      <c r="I196" s="122">
        <f>I197</f>
        <v>1715.6075</v>
      </c>
      <c r="J196" s="134"/>
      <c r="K196" s="139">
        <f>K197</f>
        <v>1030.36126</v>
      </c>
      <c r="L196" s="135">
        <f t="shared" si="2"/>
        <v>60.058099536170126</v>
      </c>
    </row>
    <row r="197" spans="1:12" ht="24">
      <c r="A197" s="99" t="s">
        <v>108</v>
      </c>
      <c r="B197" s="98"/>
      <c r="C197" s="98"/>
      <c r="D197" s="148" t="s">
        <v>65</v>
      </c>
      <c r="E197" s="147" t="s">
        <v>24</v>
      </c>
      <c r="F197" s="147" t="s">
        <v>9</v>
      </c>
      <c r="G197" s="147" t="s">
        <v>196</v>
      </c>
      <c r="H197" s="147" t="s">
        <v>109</v>
      </c>
      <c r="I197" s="122">
        <f>1715607.5/1000</f>
        <v>1715.6075</v>
      </c>
      <c r="J197" s="134"/>
      <c r="K197" s="139">
        <f>1030361.26/1000</f>
        <v>1030.36126</v>
      </c>
      <c r="L197" s="135">
        <f t="shared" si="2"/>
        <v>60.058099536170126</v>
      </c>
    </row>
    <row r="198" spans="1:12" ht="12">
      <c r="A198" s="104" t="s">
        <v>124</v>
      </c>
      <c r="B198" s="72"/>
      <c r="C198" s="72"/>
      <c r="D198" s="136" t="s">
        <v>65</v>
      </c>
      <c r="E198" s="137" t="s">
        <v>24</v>
      </c>
      <c r="F198" s="137" t="s">
        <v>9</v>
      </c>
      <c r="G198" s="137" t="s">
        <v>197</v>
      </c>
      <c r="H198" s="137"/>
      <c r="I198" s="121">
        <f>I199</f>
        <v>120</v>
      </c>
      <c r="J198" s="153"/>
      <c r="K198" s="135">
        <f>K199</f>
        <v>4</v>
      </c>
      <c r="L198" s="135">
        <f t="shared" si="2"/>
        <v>3.3333333333333335</v>
      </c>
    </row>
    <row r="199" spans="1:12" ht="24">
      <c r="A199" s="102" t="s">
        <v>227</v>
      </c>
      <c r="B199" s="98" t="s">
        <v>80</v>
      </c>
      <c r="C199" s="98" t="s">
        <v>80</v>
      </c>
      <c r="D199" s="148" t="s">
        <v>65</v>
      </c>
      <c r="E199" s="147" t="s">
        <v>24</v>
      </c>
      <c r="F199" s="147" t="s">
        <v>9</v>
      </c>
      <c r="G199" s="147" t="s">
        <v>197</v>
      </c>
      <c r="H199" s="147" t="s">
        <v>166</v>
      </c>
      <c r="I199" s="122">
        <f>I200</f>
        <v>120</v>
      </c>
      <c r="J199" s="134"/>
      <c r="K199" s="139">
        <f>K200</f>
        <v>4</v>
      </c>
      <c r="L199" s="135">
        <f t="shared" si="2"/>
        <v>3.3333333333333335</v>
      </c>
    </row>
    <row r="200" spans="1:12" ht="24">
      <c r="A200" s="99" t="s">
        <v>108</v>
      </c>
      <c r="B200" s="98"/>
      <c r="C200" s="98"/>
      <c r="D200" s="148" t="s">
        <v>65</v>
      </c>
      <c r="E200" s="147" t="s">
        <v>24</v>
      </c>
      <c r="F200" s="147" t="s">
        <v>9</v>
      </c>
      <c r="G200" s="147" t="s">
        <v>197</v>
      </c>
      <c r="H200" s="147" t="s">
        <v>109</v>
      </c>
      <c r="I200" s="122">
        <f>(20000+100000)/1000</f>
        <v>120</v>
      </c>
      <c r="J200" s="134"/>
      <c r="K200" s="139">
        <v>4</v>
      </c>
      <c r="L200" s="135">
        <f t="shared" si="2"/>
        <v>3.3333333333333335</v>
      </c>
    </row>
    <row r="201" spans="1:12" ht="12">
      <c r="A201" s="101" t="s">
        <v>125</v>
      </c>
      <c r="B201" s="98"/>
      <c r="C201" s="98"/>
      <c r="D201" s="148" t="s">
        <v>65</v>
      </c>
      <c r="E201" s="147" t="s">
        <v>24</v>
      </c>
      <c r="F201" s="147" t="s">
        <v>9</v>
      </c>
      <c r="G201" s="147" t="s">
        <v>195</v>
      </c>
      <c r="H201" s="147"/>
      <c r="I201" s="122">
        <f>I202</f>
        <v>2264.7586499999998</v>
      </c>
      <c r="J201" s="134"/>
      <c r="K201" s="139">
        <f>K202+K205</f>
        <v>1939.95535</v>
      </c>
      <c r="L201" s="135">
        <f t="shared" si="2"/>
        <v>85.65837026386896</v>
      </c>
    </row>
    <row r="202" spans="1:12" ht="12">
      <c r="A202" s="101" t="s">
        <v>198</v>
      </c>
      <c r="B202" s="98" t="s">
        <v>80</v>
      </c>
      <c r="C202" s="98" t="s">
        <v>80</v>
      </c>
      <c r="D202" s="148" t="s">
        <v>65</v>
      </c>
      <c r="E202" s="147" t="s">
        <v>24</v>
      </c>
      <c r="F202" s="147" t="s">
        <v>9</v>
      </c>
      <c r="G202" s="147" t="s">
        <v>199</v>
      </c>
      <c r="H202" s="147"/>
      <c r="I202" s="122">
        <f>I203</f>
        <v>2264.7586499999998</v>
      </c>
      <c r="J202" s="134"/>
      <c r="K202" s="139">
        <f>K203</f>
        <v>1899.4569</v>
      </c>
      <c r="L202" s="135">
        <f t="shared" si="2"/>
        <v>83.87016868221257</v>
      </c>
    </row>
    <row r="203" spans="1:12" ht="24">
      <c r="A203" s="102" t="s">
        <v>227</v>
      </c>
      <c r="B203" s="98" t="s">
        <v>80</v>
      </c>
      <c r="C203" s="98" t="s">
        <v>80</v>
      </c>
      <c r="D203" s="148" t="s">
        <v>65</v>
      </c>
      <c r="E203" s="147" t="s">
        <v>24</v>
      </c>
      <c r="F203" s="147" t="s">
        <v>9</v>
      </c>
      <c r="G203" s="147" t="s">
        <v>199</v>
      </c>
      <c r="H203" s="147" t="s">
        <v>166</v>
      </c>
      <c r="I203" s="122">
        <f>I204</f>
        <v>2264.7586499999998</v>
      </c>
      <c r="J203" s="134"/>
      <c r="K203" s="139">
        <f>K204</f>
        <v>1899.4569</v>
      </c>
      <c r="L203" s="135">
        <f t="shared" si="2"/>
        <v>83.87016868221257</v>
      </c>
    </row>
    <row r="204" spans="1:12" ht="24">
      <c r="A204" s="99" t="s">
        <v>108</v>
      </c>
      <c r="B204" s="98"/>
      <c r="C204" s="98"/>
      <c r="D204" s="148" t="s">
        <v>65</v>
      </c>
      <c r="E204" s="147" t="s">
        <v>24</v>
      </c>
      <c r="F204" s="147" t="s">
        <v>9</v>
      </c>
      <c r="G204" s="147" t="s">
        <v>199</v>
      </c>
      <c r="H204" s="147" t="s">
        <v>109</v>
      </c>
      <c r="I204" s="122">
        <f>2264758.65/1000</f>
        <v>2264.7586499999998</v>
      </c>
      <c r="J204" s="134"/>
      <c r="K204" s="139">
        <f>1899456.9/1000</f>
        <v>1899.4569</v>
      </c>
      <c r="L204" s="135">
        <f t="shared" si="2"/>
        <v>83.87016868221257</v>
      </c>
    </row>
    <row r="205" spans="1:12" ht="12">
      <c r="A205" s="97" t="s">
        <v>40</v>
      </c>
      <c r="B205" s="72"/>
      <c r="C205" s="72"/>
      <c r="D205" s="148" t="s">
        <v>65</v>
      </c>
      <c r="E205" s="147" t="s">
        <v>24</v>
      </c>
      <c r="F205" s="147" t="s">
        <v>9</v>
      </c>
      <c r="G205" s="147" t="s">
        <v>199</v>
      </c>
      <c r="H205" s="147" t="s">
        <v>172</v>
      </c>
      <c r="I205" s="122">
        <f>I206</f>
        <v>40.498455</v>
      </c>
      <c r="J205" s="134"/>
      <c r="K205" s="139">
        <f>K206</f>
        <v>40.49845</v>
      </c>
      <c r="L205" s="135">
        <f t="shared" si="2"/>
        <v>99.99998765385</v>
      </c>
    </row>
    <row r="206" spans="1:12" ht="12">
      <c r="A206" s="99" t="s">
        <v>226</v>
      </c>
      <c r="B206" s="72"/>
      <c r="C206" s="72"/>
      <c r="D206" s="148" t="s">
        <v>65</v>
      </c>
      <c r="E206" s="147" t="s">
        <v>24</v>
      </c>
      <c r="F206" s="147" t="s">
        <v>9</v>
      </c>
      <c r="G206" s="147" t="s">
        <v>199</v>
      </c>
      <c r="H206" s="147" t="s">
        <v>225</v>
      </c>
      <c r="I206" s="122">
        <f>40.498455</f>
        <v>40.498455</v>
      </c>
      <c r="J206" s="134"/>
      <c r="K206" s="139">
        <v>40.49845</v>
      </c>
      <c r="L206" s="135">
        <f t="shared" si="2"/>
        <v>99.99998765385</v>
      </c>
    </row>
    <row r="207" spans="1:12" ht="12">
      <c r="A207" s="103" t="s">
        <v>27</v>
      </c>
      <c r="B207" s="72"/>
      <c r="C207" s="72"/>
      <c r="D207" s="72" t="s">
        <v>65</v>
      </c>
      <c r="E207" s="73" t="s">
        <v>15</v>
      </c>
      <c r="F207" s="73"/>
      <c r="G207" s="73"/>
      <c r="H207" s="73"/>
      <c r="I207" s="121">
        <f>I208</f>
        <v>84.74562</v>
      </c>
      <c r="J207" s="134"/>
      <c r="K207" s="139">
        <f>K208</f>
        <v>0</v>
      </c>
      <c r="L207" s="135">
        <f t="shared" si="2"/>
        <v>0</v>
      </c>
    </row>
    <row r="208" spans="1:12" ht="12">
      <c r="A208" s="103" t="s">
        <v>308</v>
      </c>
      <c r="B208" s="72"/>
      <c r="C208" s="72"/>
      <c r="D208" s="72" t="s">
        <v>65</v>
      </c>
      <c r="E208" s="73" t="s">
        <v>15</v>
      </c>
      <c r="F208" s="73" t="s">
        <v>15</v>
      </c>
      <c r="G208" s="73"/>
      <c r="H208" s="73"/>
      <c r="I208" s="121">
        <f>I209</f>
        <v>84.74562</v>
      </c>
      <c r="J208" s="134"/>
      <c r="K208" s="139">
        <f>K209</f>
        <v>0</v>
      </c>
      <c r="L208" s="135">
        <f t="shared" si="2"/>
        <v>0</v>
      </c>
    </row>
    <row r="209" spans="1:12" ht="60">
      <c r="A209" s="99" t="s">
        <v>309</v>
      </c>
      <c r="B209" s="98"/>
      <c r="C209" s="98"/>
      <c r="D209" s="98" t="s">
        <v>65</v>
      </c>
      <c r="E209" s="154" t="s">
        <v>15</v>
      </c>
      <c r="F209" s="154" t="s">
        <v>15</v>
      </c>
      <c r="G209" s="154" t="s">
        <v>310</v>
      </c>
      <c r="H209" s="154"/>
      <c r="I209" s="122">
        <f>I210</f>
        <v>84.74562</v>
      </c>
      <c r="J209" s="134"/>
      <c r="K209" s="139">
        <f>K210</f>
        <v>0</v>
      </c>
      <c r="L209" s="135">
        <f t="shared" si="2"/>
        <v>0</v>
      </c>
    </row>
    <row r="210" spans="1:12" ht="12">
      <c r="A210" s="99" t="s">
        <v>86</v>
      </c>
      <c r="B210" s="98"/>
      <c r="C210" s="98"/>
      <c r="D210" s="98" t="s">
        <v>65</v>
      </c>
      <c r="E210" s="154" t="s">
        <v>311</v>
      </c>
      <c r="F210" s="154" t="s">
        <v>15</v>
      </c>
      <c r="G210" s="154" t="s">
        <v>312</v>
      </c>
      <c r="H210" s="154" t="s">
        <v>87</v>
      </c>
      <c r="I210" s="122">
        <f>I211</f>
        <v>84.74562</v>
      </c>
      <c r="J210" s="134"/>
      <c r="K210" s="139">
        <f>K211</f>
        <v>0</v>
      </c>
      <c r="L210" s="135">
        <f t="shared" si="2"/>
        <v>0</v>
      </c>
    </row>
    <row r="211" spans="1:12" ht="36">
      <c r="A211" s="99" t="s">
        <v>313</v>
      </c>
      <c r="B211" s="98"/>
      <c r="C211" s="98"/>
      <c r="D211" s="98" t="s">
        <v>65</v>
      </c>
      <c r="E211" s="154" t="s">
        <v>311</v>
      </c>
      <c r="F211" s="154" t="s">
        <v>15</v>
      </c>
      <c r="G211" s="154" t="s">
        <v>312</v>
      </c>
      <c r="H211" s="154" t="s">
        <v>314</v>
      </c>
      <c r="I211" s="122">
        <f>84.74562</f>
        <v>84.74562</v>
      </c>
      <c r="J211" s="134"/>
      <c r="K211" s="139">
        <v>0</v>
      </c>
      <c r="L211" s="135">
        <f t="shared" si="2"/>
        <v>0</v>
      </c>
    </row>
    <row r="212" spans="1:12" ht="12">
      <c r="A212" s="103" t="s">
        <v>49</v>
      </c>
      <c r="B212" s="72" t="s">
        <v>80</v>
      </c>
      <c r="C212" s="72" t="s">
        <v>80</v>
      </c>
      <c r="D212" s="136" t="s">
        <v>65</v>
      </c>
      <c r="E212" s="137" t="s">
        <v>32</v>
      </c>
      <c r="F212" s="137"/>
      <c r="G212" s="137"/>
      <c r="H212" s="137"/>
      <c r="I212" s="121">
        <f>I213</f>
        <v>11538.013879999999</v>
      </c>
      <c r="J212" s="134"/>
      <c r="K212" s="135">
        <f>K213</f>
        <v>5122.001679999999</v>
      </c>
      <c r="L212" s="135">
        <f t="shared" si="2"/>
        <v>44.39240352170559</v>
      </c>
    </row>
    <row r="213" spans="1:12" ht="12">
      <c r="A213" s="104" t="s">
        <v>95</v>
      </c>
      <c r="B213" s="72" t="s">
        <v>80</v>
      </c>
      <c r="C213" s="72" t="s">
        <v>80</v>
      </c>
      <c r="D213" s="136" t="s">
        <v>65</v>
      </c>
      <c r="E213" s="137" t="s">
        <v>32</v>
      </c>
      <c r="F213" s="137" t="s">
        <v>6</v>
      </c>
      <c r="G213" s="137"/>
      <c r="H213" s="137"/>
      <c r="I213" s="121">
        <f>I220+I246</f>
        <v>11538.013879999999</v>
      </c>
      <c r="J213" s="134"/>
      <c r="K213" s="135">
        <f>K220+K246</f>
        <v>5122.001679999999</v>
      </c>
      <c r="L213" s="135">
        <f t="shared" si="2"/>
        <v>44.39240352170559</v>
      </c>
    </row>
    <row r="214" spans="1:12" ht="24" hidden="1">
      <c r="A214" s="101" t="s">
        <v>176</v>
      </c>
      <c r="B214" s="72"/>
      <c r="C214" s="72"/>
      <c r="D214" s="148" t="s">
        <v>65</v>
      </c>
      <c r="E214" s="147" t="s">
        <v>32</v>
      </c>
      <c r="F214" s="147" t="s">
        <v>6</v>
      </c>
      <c r="G214" s="147" t="s">
        <v>165</v>
      </c>
      <c r="H214" s="137"/>
      <c r="I214" s="122">
        <f>I215</f>
        <v>0</v>
      </c>
      <c r="J214" s="134"/>
      <c r="K214" s="139">
        <f>K215</f>
        <v>0</v>
      </c>
      <c r="L214" s="135" t="e">
        <f t="shared" si="2"/>
        <v>#DIV/0!</v>
      </c>
    </row>
    <row r="215" spans="1:12" ht="24" hidden="1">
      <c r="A215" s="97" t="s">
        <v>209</v>
      </c>
      <c r="B215" s="72"/>
      <c r="C215" s="72"/>
      <c r="D215" s="148" t="s">
        <v>65</v>
      </c>
      <c r="E215" s="147" t="s">
        <v>32</v>
      </c>
      <c r="F215" s="147" t="s">
        <v>6</v>
      </c>
      <c r="G215" s="147" t="s">
        <v>165</v>
      </c>
      <c r="H215" s="147" t="s">
        <v>127</v>
      </c>
      <c r="I215" s="122">
        <f>I216</f>
        <v>0</v>
      </c>
      <c r="J215" s="134"/>
      <c r="K215" s="139">
        <f>K216</f>
        <v>0</v>
      </c>
      <c r="L215" s="135" t="e">
        <f aca="true" t="shared" si="3" ref="L215:L235">K215/I215*100</f>
        <v>#DIV/0!</v>
      </c>
    </row>
    <row r="216" spans="1:12" ht="36" hidden="1">
      <c r="A216" s="101" t="s">
        <v>126</v>
      </c>
      <c r="B216" s="72"/>
      <c r="C216" s="72"/>
      <c r="D216" s="148" t="s">
        <v>65</v>
      </c>
      <c r="E216" s="147" t="s">
        <v>32</v>
      </c>
      <c r="F216" s="147" t="s">
        <v>6</v>
      </c>
      <c r="G216" s="147" t="s">
        <v>165</v>
      </c>
      <c r="H216" s="147" t="s">
        <v>128</v>
      </c>
      <c r="I216" s="122"/>
      <c r="J216" s="134"/>
      <c r="K216" s="139"/>
      <c r="L216" s="135" t="e">
        <f t="shared" si="3"/>
        <v>#DIV/0!</v>
      </c>
    </row>
    <row r="217" spans="1:12" ht="24" hidden="1">
      <c r="A217" s="101" t="s">
        <v>177</v>
      </c>
      <c r="B217" s="72"/>
      <c r="C217" s="72"/>
      <c r="D217" s="148" t="s">
        <v>65</v>
      </c>
      <c r="E217" s="147" t="s">
        <v>32</v>
      </c>
      <c r="F217" s="147" t="s">
        <v>6</v>
      </c>
      <c r="G217" s="147" t="s">
        <v>167</v>
      </c>
      <c r="H217" s="137"/>
      <c r="I217" s="122">
        <f>I218</f>
        <v>0</v>
      </c>
      <c r="J217" s="134"/>
      <c r="K217" s="139">
        <f>K218</f>
        <v>0</v>
      </c>
      <c r="L217" s="135" t="e">
        <f t="shared" si="3"/>
        <v>#DIV/0!</v>
      </c>
    </row>
    <row r="218" spans="1:12" ht="24" hidden="1">
      <c r="A218" s="97" t="s">
        <v>209</v>
      </c>
      <c r="B218" s="72"/>
      <c r="C218" s="72"/>
      <c r="D218" s="148" t="s">
        <v>65</v>
      </c>
      <c r="E218" s="147" t="s">
        <v>32</v>
      </c>
      <c r="F218" s="147" t="s">
        <v>6</v>
      </c>
      <c r="G218" s="147" t="s">
        <v>167</v>
      </c>
      <c r="H218" s="147" t="s">
        <v>127</v>
      </c>
      <c r="I218" s="122">
        <f>I219</f>
        <v>0</v>
      </c>
      <c r="J218" s="134"/>
      <c r="K218" s="139">
        <f>K219</f>
        <v>0</v>
      </c>
      <c r="L218" s="135" t="e">
        <f t="shared" si="3"/>
        <v>#DIV/0!</v>
      </c>
    </row>
    <row r="219" spans="1:12" ht="36" hidden="1">
      <c r="A219" s="101" t="s">
        <v>126</v>
      </c>
      <c r="B219" s="72"/>
      <c r="C219" s="72"/>
      <c r="D219" s="148" t="s">
        <v>65</v>
      </c>
      <c r="E219" s="147" t="s">
        <v>32</v>
      </c>
      <c r="F219" s="147" t="s">
        <v>6</v>
      </c>
      <c r="G219" s="147" t="s">
        <v>167</v>
      </c>
      <c r="H219" s="147" t="s">
        <v>128</v>
      </c>
      <c r="I219" s="122"/>
      <c r="J219" s="134"/>
      <c r="K219" s="139"/>
      <c r="L219" s="135" t="e">
        <f t="shared" si="3"/>
        <v>#DIV/0!</v>
      </c>
    </row>
    <row r="220" spans="1:12" ht="24">
      <c r="A220" s="99" t="s">
        <v>247</v>
      </c>
      <c r="B220" s="72"/>
      <c r="C220" s="72"/>
      <c r="D220" s="148" t="s">
        <v>65</v>
      </c>
      <c r="E220" s="147" t="s">
        <v>32</v>
      </c>
      <c r="F220" s="147" t="s">
        <v>6</v>
      </c>
      <c r="G220" s="147" t="s">
        <v>248</v>
      </c>
      <c r="H220" s="147"/>
      <c r="I220" s="122">
        <f>I228+I238+I243+I251+I223+I226</f>
        <v>11528.013879999999</v>
      </c>
      <c r="J220" s="122">
        <f>J228+J238+J243+J251+J223+J226</f>
        <v>0</v>
      </c>
      <c r="K220" s="122">
        <f>K228+K238+K243+K251+K223+K226</f>
        <v>5112.001679999999</v>
      </c>
      <c r="L220" s="135">
        <f t="shared" si="3"/>
        <v>44.344166594636334</v>
      </c>
    </row>
    <row r="221" spans="1:12" ht="48" hidden="1">
      <c r="A221" s="99" t="s">
        <v>261</v>
      </c>
      <c r="B221" s="72"/>
      <c r="C221" s="72"/>
      <c r="D221" s="148" t="s">
        <v>65</v>
      </c>
      <c r="E221" s="147" t="s">
        <v>32</v>
      </c>
      <c r="F221" s="147" t="s">
        <v>6</v>
      </c>
      <c r="G221" s="147" t="s">
        <v>257</v>
      </c>
      <c r="H221" s="147"/>
      <c r="I221" s="122">
        <f>I222</f>
        <v>0</v>
      </c>
      <c r="J221" s="134"/>
      <c r="K221" s="139">
        <f>K222</f>
        <v>0</v>
      </c>
      <c r="L221" s="135" t="e">
        <f t="shared" si="3"/>
        <v>#DIV/0!</v>
      </c>
    </row>
    <row r="222" spans="1:12" ht="12" hidden="1">
      <c r="A222" s="97" t="s">
        <v>241</v>
      </c>
      <c r="B222" s="72"/>
      <c r="C222" s="72"/>
      <c r="D222" s="148" t="s">
        <v>65</v>
      </c>
      <c r="E222" s="147" t="s">
        <v>32</v>
      </c>
      <c r="F222" s="147" t="s">
        <v>6</v>
      </c>
      <c r="G222" s="147" t="s">
        <v>257</v>
      </c>
      <c r="H222" s="147" t="s">
        <v>240</v>
      </c>
      <c r="I222" s="122">
        <v>0</v>
      </c>
      <c r="J222" s="134"/>
      <c r="K222" s="139">
        <v>0</v>
      </c>
      <c r="L222" s="135" t="e">
        <f t="shared" si="3"/>
        <v>#DIV/0!</v>
      </c>
    </row>
    <row r="223" spans="1:12" ht="24">
      <c r="A223" s="99" t="s">
        <v>306</v>
      </c>
      <c r="B223" s="72"/>
      <c r="C223" s="72"/>
      <c r="D223" s="98" t="s">
        <v>65</v>
      </c>
      <c r="E223" s="154" t="s">
        <v>32</v>
      </c>
      <c r="F223" s="154" t="s">
        <v>6</v>
      </c>
      <c r="G223" s="154" t="s">
        <v>307</v>
      </c>
      <c r="H223" s="154"/>
      <c r="I223" s="122">
        <f>I224</f>
        <v>1000</v>
      </c>
      <c r="J223" s="134"/>
      <c r="K223" s="142">
        <f>K224</f>
        <v>0</v>
      </c>
      <c r="L223" s="135">
        <f>K223/I223*100</f>
        <v>0</v>
      </c>
    </row>
    <row r="224" spans="1:12" ht="24">
      <c r="A224" s="105" t="s">
        <v>227</v>
      </c>
      <c r="B224" s="98" t="s">
        <v>80</v>
      </c>
      <c r="C224" s="98" t="s">
        <v>80</v>
      </c>
      <c r="D224" s="98" t="s">
        <v>65</v>
      </c>
      <c r="E224" s="154" t="s">
        <v>32</v>
      </c>
      <c r="F224" s="154" t="s">
        <v>6</v>
      </c>
      <c r="G224" s="154" t="s">
        <v>307</v>
      </c>
      <c r="H224" s="154" t="s">
        <v>166</v>
      </c>
      <c r="I224" s="122">
        <f>I225</f>
        <v>1000</v>
      </c>
      <c r="J224" s="134"/>
      <c r="K224" s="142">
        <f>K225</f>
        <v>0</v>
      </c>
      <c r="L224" s="135">
        <f t="shared" si="3"/>
        <v>0</v>
      </c>
    </row>
    <row r="225" spans="1:12" ht="24">
      <c r="A225" s="97" t="s">
        <v>163</v>
      </c>
      <c r="B225" s="98" t="s">
        <v>80</v>
      </c>
      <c r="C225" s="98" t="s">
        <v>80</v>
      </c>
      <c r="D225" s="98" t="s">
        <v>65</v>
      </c>
      <c r="E225" s="154" t="s">
        <v>32</v>
      </c>
      <c r="F225" s="154" t="s">
        <v>6</v>
      </c>
      <c r="G225" s="154" t="s">
        <v>307</v>
      </c>
      <c r="H225" s="154" t="s">
        <v>109</v>
      </c>
      <c r="I225" s="122">
        <v>1000</v>
      </c>
      <c r="J225" s="134"/>
      <c r="K225" s="142">
        <v>0</v>
      </c>
      <c r="L225" s="135">
        <f t="shared" si="3"/>
        <v>0</v>
      </c>
    </row>
    <row r="226" spans="1:12" ht="48">
      <c r="A226" s="99" t="s">
        <v>261</v>
      </c>
      <c r="B226" s="72"/>
      <c r="C226" s="72"/>
      <c r="D226" s="98" t="s">
        <v>65</v>
      </c>
      <c r="E226" s="154" t="s">
        <v>32</v>
      </c>
      <c r="F226" s="154" t="s">
        <v>6</v>
      </c>
      <c r="G226" s="154" t="s">
        <v>257</v>
      </c>
      <c r="H226" s="154"/>
      <c r="I226" s="122">
        <f>I227</f>
        <v>660.99921</v>
      </c>
      <c r="J226" s="134"/>
      <c r="K226" s="142">
        <f>K227</f>
        <v>41</v>
      </c>
      <c r="L226" s="135">
        <f t="shared" si="3"/>
        <v>6.202730559995677</v>
      </c>
    </row>
    <row r="227" spans="1:12" ht="12">
      <c r="A227" s="97" t="s">
        <v>241</v>
      </c>
      <c r="B227" s="72"/>
      <c r="C227" s="72"/>
      <c r="D227" s="98" t="s">
        <v>65</v>
      </c>
      <c r="E227" s="154" t="s">
        <v>32</v>
      </c>
      <c r="F227" s="154" t="s">
        <v>6</v>
      </c>
      <c r="G227" s="154" t="s">
        <v>257</v>
      </c>
      <c r="H227" s="154" t="s">
        <v>240</v>
      </c>
      <c r="I227" s="122">
        <f>660999.21/1000</f>
        <v>660.99921</v>
      </c>
      <c r="J227" s="134"/>
      <c r="K227" s="142">
        <f>41</f>
        <v>41</v>
      </c>
      <c r="L227" s="135">
        <f t="shared" si="3"/>
        <v>6.202730559995677</v>
      </c>
    </row>
    <row r="228" spans="1:12" ht="36">
      <c r="A228" s="99" t="s">
        <v>255</v>
      </c>
      <c r="B228" s="72"/>
      <c r="C228" s="72"/>
      <c r="D228" s="148" t="s">
        <v>65</v>
      </c>
      <c r="E228" s="147" t="s">
        <v>32</v>
      </c>
      <c r="F228" s="147" t="s">
        <v>6</v>
      </c>
      <c r="G228" s="147" t="s">
        <v>249</v>
      </c>
      <c r="H228" s="147"/>
      <c r="I228" s="122">
        <f>I229+I230+I232+I233</f>
        <v>9714.314669999998</v>
      </c>
      <c r="J228" s="134"/>
      <c r="K228" s="139">
        <f>K229+K230+K232+K233</f>
        <v>4925.001679999999</v>
      </c>
      <c r="L228" s="135">
        <f t="shared" si="3"/>
        <v>50.69839558738527</v>
      </c>
    </row>
    <row r="229" spans="1:12" ht="12">
      <c r="A229" s="97" t="s">
        <v>241</v>
      </c>
      <c r="B229" s="72"/>
      <c r="C229" s="72"/>
      <c r="D229" s="148" t="s">
        <v>65</v>
      </c>
      <c r="E229" s="147" t="s">
        <v>32</v>
      </c>
      <c r="F229" s="147" t="s">
        <v>6</v>
      </c>
      <c r="G229" s="147" t="s">
        <v>249</v>
      </c>
      <c r="H229" s="147" t="s">
        <v>240</v>
      </c>
      <c r="I229" s="122">
        <f>3217999.4/1000</f>
        <v>3217.9993999999997</v>
      </c>
      <c r="J229" s="134"/>
      <c r="K229" s="139">
        <f>1551.93198+185.97253+465.0076-52.7362</f>
        <v>2150.1759100000004</v>
      </c>
      <c r="L229" s="135">
        <f t="shared" si="3"/>
        <v>66.81716317287072</v>
      </c>
    </row>
    <row r="230" spans="1:12" ht="24">
      <c r="A230" s="105" t="s">
        <v>227</v>
      </c>
      <c r="B230" s="98" t="s">
        <v>80</v>
      </c>
      <c r="C230" s="98" t="s">
        <v>80</v>
      </c>
      <c r="D230" s="148" t="s">
        <v>65</v>
      </c>
      <c r="E230" s="147" t="s">
        <v>32</v>
      </c>
      <c r="F230" s="147" t="s">
        <v>6</v>
      </c>
      <c r="G230" s="147" t="s">
        <v>249</v>
      </c>
      <c r="H230" s="147" t="s">
        <v>166</v>
      </c>
      <c r="I230" s="122">
        <f>I231</f>
        <v>6350.605269999999</v>
      </c>
      <c r="J230" s="134"/>
      <c r="K230" s="139">
        <f>K231</f>
        <v>2681.25404</v>
      </c>
      <c r="L230" s="135">
        <f t="shared" si="3"/>
        <v>42.22044869748298</v>
      </c>
    </row>
    <row r="231" spans="1:12" ht="24">
      <c r="A231" s="97" t="s">
        <v>163</v>
      </c>
      <c r="B231" s="98" t="s">
        <v>80</v>
      </c>
      <c r="C231" s="98" t="s">
        <v>80</v>
      </c>
      <c r="D231" s="148" t="s">
        <v>65</v>
      </c>
      <c r="E231" s="147" t="s">
        <v>32</v>
      </c>
      <c r="F231" s="147" t="s">
        <v>6</v>
      </c>
      <c r="G231" s="147" t="s">
        <v>249</v>
      </c>
      <c r="H231" s="147" t="s">
        <v>109</v>
      </c>
      <c r="I231" s="122">
        <f>6350605.27/1000</f>
        <v>6350.605269999999</v>
      </c>
      <c r="J231" s="134"/>
      <c r="K231" s="139">
        <f>2681.25404</f>
        <v>2681.25404</v>
      </c>
      <c r="L231" s="135">
        <f t="shared" si="3"/>
        <v>42.22044869748298</v>
      </c>
    </row>
    <row r="232" spans="1:12" ht="24">
      <c r="A232" s="97" t="s">
        <v>235</v>
      </c>
      <c r="B232" s="98"/>
      <c r="C232" s="98"/>
      <c r="D232" s="148" t="s">
        <v>65</v>
      </c>
      <c r="E232" s="147" t="s">
        <v>32</v>
      </c>
      <c r="F232" s="147" t="s">
        <v>6</v>
      </c>
      <c r="G232" s="147" t="s">
        <v>249</v>
      </c>
      <c r="H232" s="147" t="s">
        <v>234</v>
      </c>
      <c r="I232" s="122">
        <v>123.89</v>
      </c>
      <c r="J232" s="134"/>
      <c r="K232" s="139">
        <v>84.25228</v>
      </c>
      <c r="L232" s="135">
        <f t="shared" si="3"/>
        <v>68.00571474695293</v>
      </c>
    </row>
    <row r="233" spans="1:12" ht="12">
      <c r="A233" s="106" t="s">
        <v>86</v>
      </c>
      <c r="B233" s="98"/>
      <c r="C233" s="98"/>
      <c r="D233" s="148" t="s">
        <v>65</v>
      </c>
      <c r="E233" s="147" t="s">
        <v>32</v>
      </c>
      <c r="F233" s="147" t="s">
        <v>6</v>
      </c>
      <c r="G233" s="147" t="s">
        <v>249</v>
      </c>
      <c r="H233" s="147" t="s">
        <v>87</v>
      </c>
      <c r="I233" s="122">
        <f>I235+I234</f>
        <v>21.82</v>
      </c>
      <c r="J233" s="134"/>
      <c r="K233" s="139">
        <f>K235+K234</f>
        <v>9.31945</v>
      </c>
      <c r="L233" s="135">
        <f t="shared" si="3"/>
        <v>42.71058661778185</v>
      </c>
    </row>
    <row r="234" spans="1:12" ht="12" hidden="1">
      <c r="A234" s="106" t="s">
        <v>214</v>
      </c>
      <c r="B234" s="98"/>
      <c r="C234" s="98"/>
      <c r="D234" s="148" t="s">
        <v>65</v>
      </c>
      <c r="E234" s="147" t="s">
        <v>6</v>
      </c>
      <c r="F234" s="147" t="s">
        <v>11</v>
      </c>
      <c r="G234" s="147" t="s">
        <v>272</v>
      </c>
      <c r="H234" s="147" t="s">
        <v>213</v>
      </c>
      <c r="I234" s="122">
        <v>0</v>
      </c>
      <c r="J234" s="134"/>
      <c r="K234" s="139">
        <v>0</v>
      </c>
      <c r="L234" s="135" t="e">
        <f t="shared" si="3"/>
        <v>#DIV/0!</v>
      </c>
    </row>
    <row r="235" spans="1:12" ht="12">
      <c r="A235" s="106" t="s">
        <v>112</v>
      </c>
      <c r="B235" s="98"/>
      <c r="C235" s="98"/>
      <c r="D235" s="148" t="s">
        <v>65</v>
      </c>
      <c r="E235" s="147" t="s">
        <v>32</v>
      </c>
      <c r="F235" s="147" t="s">
        <v>6</v>
      </c>
      <c r="G235" s="147" t="s">
        <v>249</v>
      </c>
      <c r="H235" s="147" t="s">
        <v>113</v>
      </c>
      <c r="I235" s="122">
        <f>21.82</f>
        <v>21.82</v>
      </c>
      <c r="J235" s="134"/>
      <c r="K235" s="139">
        <f>4.22316+5096.29/1000</f>
        <v>9.31945</v>
      </c>
      <c r="L235" s="135">
        <f t="shared" si="3"/>
        <v>42.71058661778185</v>
      </c>
    </row>
    <row r="236" spans="1:12" ht="24" hidden="1">
      <c r="A236" s="97" t="s">
        <v>209</v>
      </c>
      <c r="B236" s="98"/>
      <c r="C236" s="98"/>
      <c r="D236" s="148" t="s">
        <v>65</v>
      </c>
      <c r="E236" s="147" t="s">
        <v>32</v>
      </c>
      <c r="F236" s="147" t="s">
        <v>6</v>
      </c>
      <c r="G236" s="147" t="s">
        <v>212</v>
      </c>
      <c r="H236" s="147" t="s">
        <v>127</v>
      </c>
      <c r="I236" s="122">
        <f>I237</f>
        <v>0</v>
      </c>
      <c r="J236" s="134"/>
      <c r="K236" s="139">
        <f>K237</f>
        <v>0</v>
      </c>
      <c r="L236" s="135" t="e">
        <f aca="true" t="shared" si="4" ref="L236:L282">K236/I236*100</f>
        <v>#DIV/0!</v>
      </c>
    </row>
    <row r="237" spans="1:12" ht="12" hidden="1">
      <c r="A237" s="101" t="s">
        <v>151</v>
      </c>
      <c r="B237" s="98"/>
      <c r="C237" s="98"/>
      <c r="D237" s="148" t="s">
        <v>65</v>
      </c>
      <c r="E237" s="147" t="s">
        <v>32</v>
      </c>
      <c r="F237" s="147" t="s">
        <v>6</v>
      </c>
      <c r="G237" s="147" t="s">
        <v>212</v>
      </c>
      <c r="H237" s="147" t="s">
        <v>152</v>
      </c>
      <c r="I237" s="122"/>
      <c r="J237" s="134"/>
      <c r="K237" s="139"/>
      <c r="L237" s="135" t="e">
        <f t="shared" si="4"/>
        <v>#DIV/0!</v>
      </c>
    </row>
    <row r="238" spans="1:12" ht="48">
      <c r="A238" s="101" t="s">
        <v>150</v>
      </c>
      <c r="B238" s="98"/>
      <c r="C238" s="98"/>
      <c r="D238" s="148" t="s">
        <v>65</v>
      </c>
      <c r="E238" s="147" t="s">
        <v>32</v>
      </c>
      <c r="F238" s="147" t="s">
        <v>6</v>
      </c>
      <c r="G238" s="147" t="s">
        <v>258</v>
      </c>
      <c r="H238" s="147"/>
      <c r="I238" s="122">
        <f>I239</f>
        <v>6.7</v>
      </c>
      <c r="J238" s="134"/>
      <c r="K238" s="139">
        <f>K239</f>
        <v>0</v>
      </c>
      <c r="L238" s="135">
        <f t="shared" si="4"/>
        <v>0</v>
      </c>
    </row>
    <row r="239" spans="1:12" ht="12">
      <c r="A239" s="97" t="s">
        <v>241</v>
      </c>
      <c r="B239" s="98"/>
      <c r="C239" s="98"/>
      <c r="D239" s="148" t="s">
        <v>65</v>
      </c>
      <c r="E239" s="147" t="s">
        <v>32</v>
      </c>
      <c r="F239" s="147" t="s">
        <v>6</v>
      </c>
      <c r="G239" s="147" t="s">
        <v>258</v>
      </c>
      <c r="H239" s="147" t="s">
        <v>240</v>
      </c>
      <c r="I239" s="122">
        <f>6700/1000</f>
        <v>6.7</v>
      </c>
      <c r="J239" s="134"/>
      <c r="K239" s="139">
        <v>0</v>
      </c>
      <c r="L239" s="135">
        <f t="shared" si="4"/>
        <v>0</v>
      </c>
    </row>
    <row r="240" spans="1:12" ht="36" hidden="1">
      <c r="A240" s="99" t="s">
        <v>250</v>
      </c>
      <c r="B240" s="98"/>
      <c r="C240" s="98"/>
      <c r="D240" s="148" t="s">
        <v>65</v>
      </c>
      <c r="E240" s="147" t="s">
        <v>32</v>
      </c>
      <c r="F240" s="147" t="s">
        <v>6</v>
      </c>
      <c r="G240" s="147" t="s">
        <v>251</v>
      </c>
      <c r="H240" s="147"/>
      <c r="I240" s="122">
        <f>I241</f>
        <v>0</v>
      </c>
      <c r="J240" s="134"/>
      <c r="K240" s="139">
        <f>K241</f>
        <v>0</v>
      </c>
      <c r="L240" s="135" t="e">
        <f t="shared" si="4"/>
        <v>#DIV/0!</v>
      </c>
    </row>
    <row r="241" spans="1:12" ht="24" hidden="1">
      <c r="A241" s="105" t="s">
        <v>227</v>
      </c>
      <c r="B241" s="98" t="s">
        <v>80</v>
      </c>
      <c r="C241" s="98" t="s">
        <v>80</v>
      </c>
      <c r="D241" s="148" t="s">
        <v>65</v>
      </c>
      <c r="E241" s="147" t="s">
        <v>32</v>
      </c>
      <c r="F241" s="147" t="s">
        <v>6</v>
      </c>
      <c r="G241" s="147" t="s">
        <v>251</v>
      </c>
      <c r="H241" s="147" t="s">
        <v>166</v>
      </c>
      <c r="I241" s="122">
        <f>I242</f>
        <v>0</v>
      </c>
      <c r="J241" s="134"/>
      <c r="K241" s="139">
        <f>K242</f>
        <v>0</v>
      </c>
      <c r="L241" s="135" t="e">
        <f t="shared" si="4"/>
        <v>#DIV/0!</v>
      </c>
    </row>
    <row r="242" spans="1:12" ht="24" hidden="1">
      <c r="A242" s="97" t="s">
        <v>163</v>
      </c>
      <c r="B242" s="98" t="s">
        <v>80</v>
      </c>
      <c r="C242" s="98" t="s">
        <v>80</v>
      </c>
      <c r="D242" s="148" t="s">
        <v>65</v>
      </c>
      <c r="E242" s="147" t="s">
        <v>32</v>
      </c>
      <c r="F242" s="147" t="s">
        <v>6</v>
      </c>
      <c r="G242" s="147" t="s">
        <v>251</v>
      </c>
      <c r="H242" s="147" t="s">
        <v>109</v>
      </c>
      <c r="I242" s="122">
        <f>(100000-100000)/1000</f>
        <v>0</v>
      </c>
      <c r="J242" s="134"/>
      <c r="K242" s="139">
        <f>(100000-100000)/1000</f>
        <v>0</v>
      </c>
      <c r="L242" s="135" t="e">
        <f t="shared" si="4"/>
        <v>#DIV/0!</v>
      </c>
    </row>
    <row r="243" spans="1:12" ht="60">
      <c r="A243" s="99" t="s">
        <v>264</v>
      </c>
      <c r="B243" s="98"/>
      <c r="C243" s="98"/>
      <c r="D243" s="148" t="s">
        <v>65</v>
      </c>
      <c r="E243" s="147" t="s">
        <v>32</v>
      </c>
      <c r="F243" s="147" t="s">
        <v>6</v>
      </c>
      <c r="G243" s="147" t="s">
        <v>263</v>
      </c>
      <c r="H243" s="147"/>
      <c r="I243" s="122">
        <f>I244</f>
        <v>146</v>
      </c>
      <c r="J243" s="134"/>
      <c r="K243" s="139">
        <f>K244</f>
        <v>146</v>
      </c>
      <c r="L243" s="135">
        <f t="shared" si="4"/>
        <v>100</v>
      </c>
    </row>
    <row r="244" spans="1:12" ht="24">
      <c r="A244" s="105" t="s">
        <v>227</v>
      </c>
      <c r="B244" s="98" t="s">
        <v>80</v>
      </c>
      <c r="C244" s="98" t="s">
        <v>80</v>
      </c>
      <c r="D244" s="148" t="s">
        <v>65</v>
      </c>
      <c r="E244" s="147" t="s">
        <v>32</v>
      </c>
      <c r="F244" s="147" t="s">
        <v>6</v>
      </c>
      <c r="G244" s="147" t="s">
        <v>263</v>
      </c>
      <c r="H244" s="147" t="s">
        <v>166</v>
      </c>
      <c r="I244" s="122">
        <f>I245</f>
        <v>146</v>
      </c>
      <c r="J244" s="134"/>
      <c r="K244" s="139">
        <f>K245</f>
        <v>146</v>
      </c>
      <c r="L244" s="135">
        <f t="shared" si="4"/>
        <v>100</v>
      </c>
    </row>
    <row r="245" spans="1:12" ht="24">
      <c r="A245" s="97" t="s">
        <v>163</v>
      </c>
      <c r="B245" s="98" t="s">
        <v>80</v>
      </c>
      <c r="C245" s="98" t="s">
        <v>80</v>
      </c>
      <c r="D245" s="148" t="s">
        <v>65</v>
      </c>
      <c r="E245" s="147" t="s">
        <v>32</v>
      </c>
      <c r="F245" s="147" t="s">
        <v>6</v>
      </c>
      <c r="G245" s="147" t="s">
        <v>263</v>
      </c>
      <c r="H245" s="147" t="s">
        <v>109</v>
      </c>
      <c r="I245" s="122">
        <f>146000/1000</f>
        <v>146</v>
      </c>
      <c r="J245" s="134"/>
      <c r="K245" s="139">
        <v>146</v>
      </c>
      <c r="L245" s="135">
        <f t="shared" si="4"/>
        <v>100</v>
      </c>
    </row>
    <row r="246" spans="1:12" ht="24">
      <c r="A246" s="101" t="s">
        <v>266</v>
      </c>
      <c r="B246" s="98"/>
      <c r="C246" s="98"/>
      <c r="D246" s="148" t="s">
        <v>65</v>
      </c>
      <c r="E246" s="147" t="s">
        <v>32</v>
      </c>
      <c r="F246" s="147" t="s">
        <v>6</v>
      </c>
      <c r="G246" s="147" t="s">
        <v>270</v>
      </c>
      <c r="H246" s="147"/>
      <c r="I246" s="122">
        <f>I247</f>
        <v>10</v>
      </c>
      <c r="J246" s="134"/>
      <c r="K246" s="139">
        <f>K247</f>
        <v>10</v>
      </c>
      <c r="L246" s="135">
        <f t="shared" si="4"/>
        <v>100</v>
      </c>
    </row>
    <row r="247" spans="1:12" ht="12">
      <c r="A247" s="107" t="s">
        <v>40</v>
      </c>
      <c r="B247" s="98" t="s">
        <v>80</v>
      </c>
      <c r="C247" s="98" t="s">
        <v>80</v>
      </c>
      <c r="D247" s="148" t="s">
        <v>65</v>
      </c>
      <c r="E247" s="147" t="s">
        <v>32</v>
      </c>
      <c r="F247" s="147" t="s">
        <v>6</v>
      </c>
      <c r="G247" s="147" t="s">
        <v>270</v>
      </c>
      <c r="H247" s="147" t="s">
        <v>172</v>
      </c>
      <c r="I247" s="122">
        <f>I248</f>
        <v>10</v>
      </c>
      <c r="J247" s="134"/>
      <c r="K247" s="139">
        <f>K248</f>
        <v>10</v>
      </c>
      <c r="L247" s="135">
        <f t="shared" si="4"/>
        <v>100</v>
      </c>
    </row>
    <row r="248" spans="1:12" ht="12">
      <c r="A248" s="99" t="s">
        <v>226</v>
      </c>
      <c r="B248" s="98" t="s">
        <v>80</v>
      </c>
      <c r="C248" s="98" t="s">
        <v>80</v>
      </c>
      <c r="D248" s="148" t="s">
        <v>65</v>
      </c>
      <c r="E248" s="147" t="s">
        <v>32</v>
      </c>
      <c r="F248" s="147" t="s">
        <v>6</v>
      </c>
      <c r="G248" s="147" t="s">
        <v>270</v>
      </c>
      <c r="H248" s="147" t="s">
        <v>225</v>
      </c>
      <c r="I248" s="122">
        <f>10000/1000</f>
        <v>10</v>
      </c>
      <c r="J248" s="134"/>
      <c r="K248" s="139">
        <f>10000/1000</f>
        <v>10</v>
      </c>
      <c r="L248" s="135">
        <f t="shared" si="4"/>
        <v>100</v>
      </c>
    </row>
    <row r="249" spans="1:12" ht="48" hidden="1">
      <c r="A249" s="99" t="s">
        <v>261</v>
      </c>
      <c r="B249" s="72"/>
      <c r="C249" s="72"/>
      <c r="D249" s="148" t="s">
        <v>65</v>
      </c>
      <c r="E249" s="147" t="s">
        <v>32</v>
      </c>
      <c r="F249" s="147" t="s">
        <v>6</v>
      </c>
      <c r="G249" s="147" t="s">
        <v>257</v>
      </c>
      <c r="H249" s="147"/>
      <c r="I249" s="122">
        <f>I250</f>
        <v>0</v>
      </c>
      <c r="J249" s="134"/>
      <c r="K249" s="139">
        <f>K250</f>
        <v>0</v>
      </c>
      <c r="L249" s="135" t="e">
        <f t="shared" si="4"/>
        <v>#DIV/0!</v>
      </c>
    </row>
    <row r="250" spans="1:12" ht="12" hidden="1">
      <c r="A250" s="97" t="s">
        <v>241</v>
      </c>
      <c r="B250" s="72"/>
      <c r="C250" s="72"/>
      <c r="D250" s="148" t="s">
        <v>65</v>
      </c>
      <c r="E250" s="147" t="s">
        <v>32</v>
      </c>
      <c r="F250" s="147" t="s">
        <v>6</v>
      </c>
      <c r="G250" s="147" t="s">
        <v>257</v>
      </c>
      <c r="H250" s="147" t="s">
        <v>240</v>
      </c>
      <c r="I250" s="122">
        <v>0</v>
      </c>
      <c r="J250" s="134"/>
      <c r="K250" s="139">
        <v>0</v>
      </c>
      <c r="L250" s="135" t="e">
        <f t="shared" si="4"/>
        <v>#DIV/0!</v>
      </c>
    </row>
    <row r="251" spans="1:12" ht="24" hidden="1">
      <c r="A251" s="101" t="s">
        <v>266</v>
      </c>
      <c r="B251" s="72"/>
      <c r="C251" s="72"/>
      <c r="D251" s="148" t="s">
        <v>65</v>
      </c>
      <c r="E251" s="147" t="s">
        <v>32</v>
      </c>
      <c r="F251" s="147" t="s">
        <v>6</v>
      </c>
      <c r="G251" s="141" t="s">
        <v>249</v>
      </c>
      <c r="H251" s="147"/>
      <c r="I251" s="122">
        <f>I252</f>
        <v>0</v>
      </c>
      <c r="J251" s="134"/>
      <c r="K251" s="139">
        <f>K252</f>
        <v>0</v>
      </c>
      <c r="L251" s="135" t="e">
        <f t="shared" si="4"/>
        <v>#DIV/0!</v>
      </c>
    </row>
    <row r="252" spans="1:12" ht="12" hidden="1">
      <c r="A252" s="107" t="s">
        <v>40</v>
      </c>
      <c r="B252" s="75"/>
      <c r="C252" s="75"/>
      <c r="D252" s="140" t="s">
        <v>65</v>
      </c>
      <c r="E252" s="141" t="s">
        <v>32</v>
      </c>
      <c r="F252" s="141" t="s">
        <v>6</v>
      </c>
      <c r="G252" s="141" t="s">
        <v>249</v>
      </c>
      <c r="H252" s="141" t="s">
        <v>172</v>
      </c>
      <c r="I252" s="122">
        <f>I253</f>
        <v>0</v>
      </c>
      <c r="J252" s="134"/>
      <c r="K252" s="139">
        <f>K253</f>
        <v>0</v>
      </c>
      <c r="L252" s="135" t="e">
        <f t="shared" si="4"/>
        <v>#DIV/0!</v>
      </c>
    </row>
    <row r="253" spans="1:12" ht="12" hidden="1">
      <c r="A253" s="99" t="s">
        <v>226</v>
      </c>
      <c r="B253" s="75"/>
      <c r="C253" s="75"/>
      <c r="D253" s="140" t="s">
        <v>65</v>
      </c>
      <c r="E253" s="141" t="s">
        <v>32</v>
      </c>
      <c r="F253" s="141" t="s">
        <v>6</v>
      </c>
      <c r="G253" s="141" t="s">
        <v>249</v>
      </c>
      <c r="H253" s="141" t="s">
        <v>225</v>
      </c>
      <c r="I253" s="122">
        <v>0</v>
      </c>
      <c r="J253" s="134"/>
      <c r="K253" s="139">
        <v>0</v>
      </c>
      <c r="L253" s="135" t="e">
        <f t="shared" si="4"/>
        <v>#DIV/0!</v>
      </c>
    </row>
    <row r="254" spans="1:12" ht="12" hidden="1">
      <c r="A254" s="80" t="s">
        <v>260</v>
      </c>
      <c r="B254" s="75"/>
      <c r="C254" s="75"/>
      <c r="D254" s="140" t="s">
        <v>65</v>
      </c>
      <c r="E254" s="141" t="s">
        <v>32</v>
      </c>
      <c r="F254" s="141" t="s">
        <v>6</v>
      </c>
      <c r="G254" s="141" t="s">
        <v>262</v>
      </c>
      <c r="H254" s="141"/>
      <c r="I254" s="122">
        <f>I255</f>
        <v>0</v>
      </c>
      <c r="J254" s="134"/>
      <c r="K254" s="139">
        <f>K255</f>
        <v>0</v>
      </c>
      <c r="L254" s="135" t="e">
        <f t="shared" si="4"/>
        <v>#DIV/0!</v>
      </c>
    </row>
    <row r="255" spans="1:12" ht="12" hidden="1">
      <c r="A255" s="80" t="s">
        <v>241</v>
      </c>
      <c r="B255" s="75"/>
      <c r="C255" s="75"/>
      <c r="D255" s="140" t="s">
        <v>65</v>
      </c>
      <c r="E255" s="141" t="s">
        <v>32</v>
      </c>
      <c r="F255" s="141" t="s">
        <v>6</v>
      </c>
      <c r="G255" s="141" t="s">
        <v>262</v>
      </c>
      <c r="H255" s="141" t="s">
        <v>240</v>
      </c>
      <c r="I255" s="122">
        <v>0</v>
      </c>
      <c r="J255" s="134"/>
      <c r="K255" s="139">
        <v>0</v>
      </c>
      <c r="L255" s="135" t="e">
        <f t="shared" si="4"/>
        <v>#DIV/0!</v>
      </c>
    </row>
    <row r="256" spans="1:12" ht="12">
      <c r="A256" s="91" t="s">
        <v>129</v>
      </c>
      <c r="B256" s="75"/>
      <c r="C256" s="75"/>
      <c r="D256" s="138" t="s">
        <v>65</v>
      </c>
      <c r="E256" s="133" t="s">
        <v>48</v>
      </c>
      <c r="F256" s="133"/>
      <c r="G256" s="133"/>
      <c r="H256" s="133"/>
      <c r="I256" s="121">
        <f>I257+I271</f>
        <v>53.656800000000004</v>
      </c>
      <c r="J256" s="134"/>
      <c r="K256" s="135">
        <f>K257+K271</f>
        <v>37.95723</v>
      </c>
      <c r="L256" s="135">
        <f t="shared" si="4"/>
        <v>70.74076351925571</v>
      </c>
    </row>
    <row r="257" spans="1:12" ht="12">
      <c r="A257" s="76" t="s">
        <v>37</v>
      </c>
      <c r="B257" s="77"/>
      <c r="C257" s="77"/>
      <c r="D257" s="140" t="s">
        <v>65</v>
      </c>
      <c r="E257" s="141" t="s">
        <v>48</v>
      </c>
      <c r="F257" s="141" t="s">
        <v>6</v>
      </c>
      <c r="G257" s="141"/>
      <c r="H257" s="141"/>
      <c r="I257" s="122">
        <f>I258</f>
        <v>53.656800000000004</v>
      </c>
      <c r="J257" s="149"/>
      <c r="K257" s="139">
        <f>K258</f>
        <v>37.95723</v>
      </c>
      <c r="L257" s="135">
        <f t="shared" si="4"/>
        <v>70.74076351925571</v>
      </c>
    </row>
    <row r="258" spans="1:12" ht="12">
      <c r="A258" s="76" t="s">
        <v>59</v>
      </c>
      <c r="B258" s="77"/>
      <c r="C258" s="77"/>
      <c r="D258" s="140" t="s">
        <v>65</v>
      </c>
      <c r="E258" s="141" t="s">
        <v>48</v>
      </c>
      <c r="F258" s="141" t="s">
        <v>6</v>
      </c>
      <c r="G258" s="141" t="s">
        <v>200</v>
      </c>
      <c r="H258" s="141"/>
      <c r="I258" s="122">
        <f>I259</f>
        <v>53.656800000000004</v>
      </c>
      <c r="J258" s="149"/>
      <c r="K258" s="139">
        <f>K259</f>
        <v>37.95723</v>
      </c>
      <c r="L258" s="135">
        <f t="shared" si="4"/>
        <v>70.74076351925571</v>
      </c>
    </row>
    <row r="259" spans="1:12" ht="24">
      <c r="A259" s="78" t="s">
        <v>60</v>
      </c>
      <c r="B259" s="77"/>
      <c r="C259" s="77"/>
      <c r="D259" s="140" t="s">
        <v>65</v>
      </c>
      <c r="E259" s="141" t="s">
        <v>48</v>
      </c>
      <c r="F259" s="141" t="s">
        <v>6</v>
      </c>
      <c r="G259" s="141" t="s">
        <v>201</v>
      </c>
      <c r="H259" s="141"/>
      <c r="I259" s="122">
        <f>I260</f>
        <v>53.656800000000004</v>
      </c>
      <c r="J259" s="149"/>
      <c r="K259" s="139">
        <f>K260</f>
        <v>37.95723</v>
      </c>
      <c r="L259" s="135">
        <f t="shared" si="4"/>
        <v>70.74076351925571</v>
      </c>
    </row>
    <row r="260" spans="1:12" ht="24">
      <c r="A260" s="78" t="s">
        <v>134</v>
      </c>
      <c r="B260" s="77"/>
      <c r="C260" s="77"/>
      <c r="D260" s="140" t="s">
        <v>65</v>
      </c>
      <c r="E260" s="141" t="s">
        <v>48</v>
      </c>
      <c r="F260" s="141" t="s">
        <v>6</v>
      </c>
      <c r="G260" s="141" t="s">
        <v>201</v>
      </c>
      <c r="H260" s="141" t="s">
        <v>133</v>
      </c>
      <c r="I260" s="122">
        <f>I261</f>
        <v>53.656800000000004</v>
      </c>
      <c r="J260" s="149"/>
      <c r="K260" s="139">
        <f>K261</f>
        <v>37.95723</v>
      </c>
      <c r="L260" s="135">
        <f t="shared" si="4"/>
        <v>70.74076351925571</v>
      </c>
    </row>
    <row r="261" spans="1:12" ht="12">
      <c r="A261" s="78" t="s">
        <v>222</v>
      </c>
      <c r="B261" s="77"/>
      <c r="C261" s="77"/>
      <c r="D261" s="140" t="s">
        <v>65</v>
      </c>
      <c r="E261" s="141" t="s">
        <v>48</v>
      </c>
      <c r="F261" s="141" t="s">
        <v>6</v>
      </c>
      <c r="G261" s="141" t="s">
        <v>201</v>
      </c>
      <c r="H261" s="141" t="s">
        <v>221</v>
      </c>
      <c r="I261" s="122">
        <f>53656.8/1000</f>
        <v>53.656800000000004</v>
      </c>
      <c r="J261" s="149"/>
      <c r="K261" s="139">
        <f>37957.23/1000</f>
        <v>37.95723</v>
      </c>
      <c r="L261" s="135">
        <f t="shared" si="4"/>
        <v>70.74076351925571</v>
      </c>
    </row>
    <row r="262" spans="1:12" ht="12" hidden="1">
      <c r="A262" s="76" t="s">
        <v>38</v>
      </c>
      <c r="B262" s="77"/>
      <c r="C262" s="77"/>
      <c r="D262" s="140" t="s">
        <v>65</v>
      </c>
      <c r="E262" s="141" t="s">
        <v>48</v>
      </c>
      <c r="F262" s="141" t="s">
        <v>9</v>
      </c>
      <c r="G262" s="141"/>
      <c r="H262" s="141"/>
      <c r="I262" s="122">
        <f>I263</f>
        <v>0</v>
      </c>
      <c r="J262" s="149"/>
      <c r="K262" s="139">
        <f>K263</f>
        <v>0</v>
      </c>
      <c r="L262" s="135" t="e">
        <f t="shared" si="4"/>
        <v>#DIV/0!</v>
      </c>
    </row>
    <row r="263" spans="1:12" ht="36" hidden="1">
      <c r="A263" s="76" t="s">
        <v>130</v>
      </c>
      <c r="B263" s="77"/>
      <c r="C263" s="77"/>
      <c r="D263" s="140" t="s">
        <v>65</v>
      </c>
      <c r="E263" s="141" t="s">
        <v>48</v>
      </c>
      <c r="F263" s="141" t="s">
        <v>9</v>
      </c>
      <c r="G263" s="141" t="s">
        <v>137</v>
      </c>
      <c r="H263" s="141"/>
      <c r="I263" s="122">
        <f>I264</f>
        <v>0</v>
      </c>
      <c r="J263" s="149"/>
      <c r="K263" s="139">
        <f>K264</f>
        <v>0</v>
      </c>
      <c r="L263" s="135" t="e">
        <f t="shared" si="4"/>
        <v>#DIV/0!</v>
      </c>
    </row>
    <row r="264" spans="1:12" ht="36" hidden="1">
      <c r="A264" s="76" t="s">
        <v>74</v>
      </c>
      <c r="B264" s="77"/>
      <c r="C264" s="77"/>
      <c r="D264" s="140" t="s">
        <v>65</v>
      </c>
      <c r="E264" s="141" t="s">
        <v>48</v>
      </c>
      <c r="F264" s="141" t="s">
        <v>9</v>
      </c>
      <c r="G264" s="141" t="s">
        <v>138</v>
      </c>
      <c r="H264" s="141"/>
      <c r="I264" s="122">
        <f>I265</f>
        <v>0</v>
      </c>
      <c r="J264" s="149"/>
      <c r="K264" s="139">
        <f>K265</f>
        <v>0</v>
      </c>
      <c r="L264" s="135" t="e">
        <f t="shared" si="4"/>
        <v>#DIV/0!</v>
      </c>
    </row>
    <row r="265" spans="1:12" ht="24" hidden="1">
      <c r="A265" s="78" t="s">
        <v>134</v>
      </c>
      <c r="B265" s="77"/>
      <c r="C265" s="77"/>
      <c r="D265" s="140" t="s">
        <v>65</v>
      </c>
      <c r="E265" s="141" t="s">
        <v>48</v>
      </c>
      <c r="F265" s="141" t="s">
        <v>9</v>
      </c>
      <c r="G265" s="141" t="s">
        <v>138</v>
      </c>
      <c r="H265" s="141" t="s">
        <v>133</v>
      </c>
      <c r="I265" s="122">
        <f>I266</f>
        <v>0</v>
      </c>
      <c r="J265" s="149"/>
      <c r="K265" s="139">
        <f>K266</f>
        <v>0</v>
      </c>
      <c r="L265" s="135" t="e">
        <f t="shared" si="4"/>
        <v>#DIV/0!</v>
      </c>
    </row>
    <row r="266" spans="1:12" ht="12" hidden="1">
      <c r="A266" s="76" t="s">
        <v>131</v>
      </c>
      <c r="B266" s="77"/>
      <c r="C266" s="77"/>
      <c r="D266" s="140" t="s">
        <v>65</v>
      </c>
      <c r="E266" s="141" t="s">
        <v>48</v>
      </c>
      <c r="F266" s="141" t="s">
        <v>9</v>
      </c>
      <c r="G266" s="141" t="s">
        <v>138</v>
      </c>
      <c r="H266" s="141" t="s">
        <v>132</v>
      </c>
      <c r="I266" s="122">
        <v>0</v>
      </c>
      <c r="J266" s="149"/>
      <c r="K266" s="139">
        <v>0</v>
      </c>
      <c r="L266" s="135" t="e">
        <f t="shared" si="4"/>
        <v>#DIV/0!</v>
      </c>
    </row>
    <row r="267" spans="1:12" ht="12" hidden="1">
      <c r="A267" s="76" t="s">
        <v>143</v>
      </c>
      <c r="B267" s="77"/>
      <c r="C267" s="77"/>
      <c r="D267" s="140" t="s">
        <v>65</v>
      </c>
      <c r="E267" s="141" t="s">
        <v>48</v>
      </c>
      <c r="F267" s="141" t="s">
        <v>11</v>
      </c>
      <c r="G267" s="141"/>
      <c r="H267" s="141"/>
      <c r="I267" s="122">
        <f>I268</f>
        <v>0</v>
      </c>
      <c r="J267" s="149"/>
      <c r="K267" s="139">
        <f>K268</f>
        <v>0</v>
      </c>
      <c r="L267" s="135" t="e">
        <f t="shared" si="4"/>
        <v>#DIV/0!</v>
      </c>
    </row>
    <row r="268" spans="1:12" ht="12" hidden="1">
      <c r="A268" s="76" t="s">
        <v>149</v>
      </c>
      <c r="B268" s="77"/>
      <c r="C268" s="77"/>
      <c r="D268" s="140" t="s">
        <v>65</v>
      </c>
      <c r="E268" s="141" t="s">
        <v>48</v>
      </c>
      <c r="F268" s="141" t="s">
        <v>11</v>
      </c>
      <c r="G268" s="141" t="s">
        <v>147</v>
      </c>
      <c r="H268" s="141"/>
      <c r="I268" s="122">
        <f>I269</f>
        <v>0</v>
      </c>
      <c r="J268" s="149"/>
      <c r="K268" s="139">
        <f>K269</f>
        <v>0</v>
      </c>
      <c r="L268" s="135" t="e">
        <f t="shared" si="4"/>
        <v>#DIV/0!</v>
      </c>
    </row>
    <row r="269" spans="1:12" ht="12" hidden="1">
      <c r="A269" s="76" t="s">
        <v>148</v>
      </c>
      <c r="B269" s="77"/>
      <c r="C269" s="77"/>
      <c r="D269" s="140" t="s">
        <v>65</v>
      </c>
      <c r="E269" s="141" t="s">
        <v>48</v>
      </c>
      <c r="F269" s="141" t="s">
        <v>11</v>
      </c>
      <c r="G269" s="141" t="s">
        <v>138</v>
      </c>
      <c r="H269" s="141" t="s">
        <v>145</v>
      </c>
      <c r="I269" s="122">
        <f>I270</f>
        <v>0</v>
      </c>
      <c r="J269" s="149"/>
      <c r="K269" s="139">
        <f>K270</f>
        <v>0</v>
      </c>
      <c r="L269" s="135" t="e">
        <f t="shared" si="4"/>
        <v>#DIV/0!</v>
      </c>
    </row>
    <row r="270" spans="1:12" ht="24" hidden="1">
      <c r="A270" s="76" t="s">
        <v>144</v>
      </c>
      <c r="B270" s="77"/>
      <c r="C270" s="77"/>
      <c r="D270" s="140" t="s">
        <v>65</v>
      </c>
      <c r="E270" s="141" t="s">
        <v>48</v>
      </c>
      <c r="F270" s="141" t="s">
        <v>11</v>
      </c>
      <c r="G270" s="141" t="s">
        <v>138</v>
      </c>
      <c r="H270" s="141" t="s">
        <v>146</v>
      </c>
      <c r="I270" s="122">
        <f>(2505170-1087840-1417330)/1000</f>
        <v>0</v>
      </c>
      <c r="J270" s="149"/>
      <c r="K270" s="139">
        <f>(2505170-1087840-1417330)/1000</f>
        <v>0</v>
      </c>
      <c r="L270" s="135" t="e">
        <f t="shared" si="4"/>
        <v>#DIV/0!</v>
      </c>
    </row>
    <row r="271" spans="1:12" ht="12" hidden="1">
      <c r="A271" s="76" t="s">
        <v>202</v>
      </c>
      <c r="B271" s="77"/>
      <c r="C271" s="77"/>
      <c r="D271" s="140" t="s">
        <v>65</v>
      </c>
      <c r="E271" s="141" t="s">
        <v>48</v>
      </c>
      <c r="F271" s="141" t="s">
        <v>13</v>
      </c>
      <c r="G271" s="141"/>
      <c r="H271" s="141"/>
      <c r="I271" s="122">
        <f>I272</f>
        <v>0</v>
      </c>
      <c r="J271" s="149"/>
      <c r="K271" s="139">
        <f>K272</f>
        <v>0</v>
      </c>
      <c r="L271" s="135" t="e">
        <f t="shared" si="4"/>
        <v>#DIV/0!</v>
      </c>
    </row>
    <row r="272" spans="1:12" ht="12" hidden="1">
      <c r="A272" s="76" t="s">
        <v>203</v>
      </c>
      <c r="B272" s="77"/>
      <c r="C272" s="77"/>
      <c r="D272" s="140" t="s">
        <v>65</v>
      </c>
      <c r="E272" s="141" t="s">
        <v>48</v>
      </c>
      <c r="F272" s="141" t="s">
        <v>13</v>
      </c>
      <c r="G272" s="141" t="s">
        <v>205</v>
      </c>
      <c r="H272" s="141"/>
      <c r="I272" s="122">
        <f>I273</f>
        <v>0</v>
      </c>
      <c r="J272" s="149"/>
      <c r="K272" s="139">
        <f>K273</f>
        <v>0</v>
      </c>
      <c r="L272" s="135" t="e">
        <f t="shared" si="4"/>
        <v>#DIV/0!</v>
      </c>
    </row>
    <row r="273" spans="1:12" ht="12" hidden="1">
      <c r="A273" s="76" t="s">
        <v>204</v>
      </c>
      <c r="B273" s="77"/>
      <c r="C273" s="77"/>
      <c r="D273" s="140" t="s">
        <v>65</v>
      </c>
      <c r="E273" s="141" t="s">
        <v>48</v>
      </c>
      <c r="F273" s="141" t="s">
        <v>13</v>
      </c>
      <c r="G273" s="141" t="s">
        <v>205</v>
      </c>
      <c r="H273" s="141"/>
      <c r="I273" s="122">
        <f>I274</f>
        <v>0</v>
      </c>
      <c r="J273" s="149"/>
      <c r="K273" s="139">
        <f>K274</f>
        <v>0</v>
      </c>
      <c r="L273" s="135" t="e">
        <f t="shared" si="4"/>
        <v>#DIV/0!</v>
      </c>
    </row>
    <row r="274" spans="1:12" ht="24" hidden="1">
      <c r="A274" s="95" t="s">
        <v>227</v>
      </c>
      <c r="B274" s="77"/>
      <c r="C274" s="77"/>
      <c r="D274" s="140" t="s">
        <v>65</v>
      </c>
      <c r="E274" s="141" t="s">
        <v>48</v>
      </c>
      <c r="F274" s="141" t="s">
        <v>13</v>
      </c>
      <c r="G274" s="141" t="s">
        <v>205</v>
      </c>
      <c r="H274" s="141" t="s">
        <v>166</v>
      </c>
      <c r="I274" s="122">
        <f>I275</f>
        <v>0</v>
      </c>
      <c r="J274" s="149"/>
      <c r="K274" s="139">
        <f>K275</f>
        <v>0</v>
      </c>
      <c r="L274" s="135" t="e">
        <f t="shared" si="4"/>
        <v>#DIV/0!</v>
      </c>
    </row>
    <row r="275" spans="1:12" ht="24" hidden="1">
      <c r="A275" s="78" t="s">
        <v>108</v>
      </c>
      <c r="B275" s="77"/>
      <c r="C275" s="77"/>
      <c r="D275" s="140" t="s">
        <v>65</v>
      </c>
      <c r="E275" s="141" t="s">
        <v>48</v>
      </c>
      <c r="F275" s="141" t="s">
        <v>13</v>
      </c>
      <c r="G275" s="141" t="s">
        <v>205</v>
      </c>
      <c r="H275" s="141" t="s">
        <v>109</v>
      </c>
      <c r="I275" s="122">
        <v>0</v>
      </c>
      <c r="J275" s="149"/>
      <c r="K275" s="139">
        <v>0</v>
      </c>
      <c r="L275" s="135" t="e">
        <f t="shared" si="4"/>
        <v>#DIV/0!</v>
      </c>
    </row>
    <row r="276" spans="1:12" ht="12">
      <c r="A276" s="74" t="s">
        <v>73</v>
      </c>
      <c r="B276" s="77"/>
      <c r="C276" s="77"/>
      <c r="D276" s="138" t="s">
        <v>65</v>
      </c>
      <c r="E276" s="133" t="s">
        <v>70</v>
      </c>
      <c r="F276" s="133"/>
      <c r="G276" s="133"/>
      <c r="H276" s="133"/>
      <c r="I276" s="121">
        <f>I277</f>
        <v>350</v>
      </c>
      <c r="J276" s="149"/>
      <c r="K276" s="135">
        <f>K277</f>
        <v>132.514</v>
      </c>
      <c r="L276" s="135">
        <f t="shared" si="4"/>
        <v>37.86114285714286</v>
      </c>
    </row>
    <row r="277" spans="1:12" ht="12">
      <c r="A277" s="74" t="s">
        <v>72</v>
      </c>
      <c r="B277" s="77"/>
      <c r="C277" s="77"/>
      <c r="D277" s="138" t="s">
        <v>65</v>
      </c>
      <c r="E277" s="133" t="s">
        <v>70</v>
      </c>
      <c r="F277" s="133" t="s">
        <v>8</v>
      </c>
      <c r="G277" s="133"/>
      <c r="H277" s="133"/>
      <c r="I277" s="121">
        <f>I278</f>
        <v>350</v>
      </c>
      <c r="J277" s="149"/>
      <c r="K277" s="135">
        <f>K278</f>
        <v>132.514</v>
      </c>
      <c r="L277" s="135">
        <f t="shared" si="4"/>
        <v>37.86114285714286</v>
      </c>
    </row>
    <row r="278" spans="1:12" ht="12">
      <c r="A278" s="76" t="s">
        <v>206</v>
      </c>
      <c r="B278" s="77"/>
      <c r="C278" s="77"/>
      <c r="D278" s="140" t="s">
        <v>65</v>
      </c>
      <c r="E278" s="141" t="s">
        <v>70</v>
      </c>
      <c r="F278" s="141" t="s">
        <v>8</v>
      </c>
      <c r="G278" s="141" t="s">
        <v>207</v>
      </c>
      <c r="H278" s="141"/>
      <c r="I278" s="122">
        <f>I279</f>
        <v>350</v>
      </c>
      <c r="J278" s="149"/>
      <c r="K278" s="139">
        <f>K279</f>
        <v>132.514</v>
      </c>
      <c r="L278" s="135">
        <f t="shared" si="4"/>
        <v>37.86114285714286</v>
      </c>
    </row>
    <row r="279" spans="1:12" ht="12">
      <c r="A279" s="76" t="s">
        <v>94</v>
      </c>
      <c r="B279" s="77"/>
      <c r="C279" s="77"/>
      <c r="D279" s="140" t="s">
        <v>65</v>
      </c>
      <c r="E279" s="141" t="s">
        <v>70</v>
      </c>
      <c r="F279" s="141" t="s">
        <v>8</v>
      </c>
      <c r="G279" s="141" t="s">
        <v>208</v>
      </c>
      <c r="H279" s="141"/>
      <c r="I279" s="122">
        <f>I280</f>
        <v>350</v>
      </c>
      <c r="J279" s="149"/>
      <c r="K279" s="139">
        <f>K280</f>
        <v>132.514</v>
      </c>
      <c r="L279" s="135">
        <f t="shared" si="4"/>
        <v>37.86114285714286</v>
      </c>
    </row>
    <row r="280" spans="1:12" ht="24">
      <c r="A280" s="94" t="s">
        <v>227</v>
      </c>
      <c r="B280" s="77"/>
      <c r="C280" s="77"/>
      <c r="D280" s="140" t="s">
        <v>65</v>
      </c>
      <c r="E280" s="141" t="s">
        <v>70</v>
      </c>
      <c r="F280" s="141" t="s">
        <v>8</v>
      </c>
      <c r="G280" s="141" t="s">
        <v>208</v>
      </c>
      <c r="H280" s="141" t="s">
        <v>166</v>
      </c>
      <c r="I280" s="122">
        <f>I281</f>
        <v>350</v>
      </c>
      <c r="J280" s="149"/>
      <c r="K280" s="139">
        <f>K281</f>
        <v>132.514</v>
      </c>
      <c r="L280" s="135">
        <f t="shared" si="4"/>
        <v>37.86114285714286</v>
      </c>
    </row>
    <row r="281" spans="1:12" ht="24">
      <c r="A281" s="78" t="s">
        <v>108</v>
      </c>
      <c r="B281" s="77"/>
      <c r="C281" s="77"/>
      <c r="D281" s="140" t="s">
        <v>65</v>
      </c>
      <c r="E281" s="141" t="s">
        <v>70</v>
      </c>
      <c r="F281" s="141" t="s">
        <v>8</v>
      </c>
      <c r="G281" s="141" t="s">
        <v>208</v>
      </c>
      <c r="H281" s="141" t="s">
        <v>109</v>
      </c>
      <c r="I281" s="122">
        <f>240000/1000+60000/1000+50000/1000</f>
        <v>350</v>
      </c>
      <c r="J281" s="149"/>
      <c r="K281" s="139">
        <f>132514/1000</f>
        <v>132.514</v>
      </c>
      <c r="L281" s="135">
        <f t="shared" si="4"/>
        <v>37.86114285714286</v>
      </c>
    </row>
    <row r="282" spans="1:12" ht="12">
      <c r="A282" s="110" t="s">
        <v>96</v>
      </c>
      <c r="B282" s="109"/>
      <c r="C282" s="109"/>
      <c r="D282" s="150"/>
      <c r="E282" s="151"/>
      <c r="F282" s="151"/>
      <c r="G282" s="132"/>
      <c r="H282" s="151"/>
      <c r="I282" s="121">
        <f>I16+I95+I106+I126+I212+I256+I276+I85+I207</f>
        <v>42014.826835</v>
      </c>
      <c r="J282" s="146">
        <f>J16+J95+J106+J126+J212+J256+J276+J85</f>
        <v>0</v>
      </c>
      <c r="K282" s="146">
        <f>K16+K95+K106+K126+K212+K256+K276+K85+K207</f>
        <v>25267.81064</v>
      </c>
      <c r="L282" s="135">
        <f t="shared" si="4"/>
        <v>60.140223210323754</v>
      </c>
    </row>
    <row r="283" spans="1:10" ht="12">
      <c r="A283" s="108"/>
      <c r="B283" s="108"/>
      <c r="C283" s="108"/>
      <c r="D283" s="127"/>
      <c r="E283" s="127"/>
      <c r="F283" s="127"/>
      <c r="G283" s="152"/>
      <c r="H283" s="127"/>
      <c r="I283" s="123"/>
      <c r="J283" s="127"/>
    </row>
    <row r="284" spans="1:10" ht="12">
      <c r="A284" s="108"/>
      <c r="B284" s="108"/>
      <c r="C284" s="108"/>
      <c r="D284" s="127"/>
      <c r="E284" s="127"/>
      <c r="F284" s="127"/>
      <c r="G284" s="152"/>
      <c r="H284" s="127"/>
      <c r="I284" s="123"/>
      <c r="J284" s="127"/>
    </row>
    <row r="285" spans="1:10" ht="12">
      <c r="A285" s="108"/>
      <c r="B285" s="108"/>
      <c r="C285" s="108"/>
      <c r="D285" s="127"/>
      <c r="E285" s="127"/>
      <c r="F285" s="127"/>
      <c r="G285" s="152"/>
      <c r="H285" s="127"/>
      <c r="I285" s="123"/>
      <c r="J285" s="127"/>
    </row>
    <row r="286" spans="1:10" ht="12">
      <c r="A286" s="108"/>
      <c r="B286" s="108"/>
      <c r="C286" s="108"/>
      <c r="D286" s="127"/>
      <c r="E286" s="127"/>
      <c r="F286" s="127"/>
      <c r="G286" s="152"/>
      <c r="H286" s="127"/>
      <c r="I286" s="123"/>
      <c r="J286" s="127"/>
    </row>
    <row r="287" spans="1:10" ht="12">
      <c r="A287" s="108"/>
      <c r="B287" s="108"/>
      <c r="C287" s="108"/>
      <c r="D287" s="127"/>
      <c r="E287" s="127"/>
      <c r="F287" s="127"/>
      <c r="G287" s="152"/>
      <c r="H287" s="127"/>
      <c r="I287" s="123"/>
      <c r="J287" s="127"/>
    </row>
    <row r="288" spans="1:10" ht="12">
      <c r="A288" s="108"/>
      <c r="B288" s="108"/>
      <c r="C288" s="108"/>
      <c r="D288" s="127"/>
      <c r="E288" s="127"/>
      <c r="F288" s="127"/>
      <c r="G288" s="152"/>
      <c r="H288" s="127"/>
      <c r="I288" s="123"/>
      <c r="J288" s="127"/>
    </row>
    <row r="289" spans="1:10" ht="12">
      <c r="A289" s="108"/>
      <c r="B289" s="108"/>
      <c r="C289" s="108"/>
      <c r="D289" s="127"/>
      <c r="E289" s="127"/>
      <c r="F289" s="127"/>
      <c r="G289" s="152"/>
      <c r="H289" s="127"/>
      <c r="I289" s="123"/>
      <c r="J289" s="127"/>
    </row>
    <row r="290" spans="1:10" ht="12">
      <c r="A290" s="108"/>
      <c r="B290" s="108"/>
      <c r="C290" s="108"/>
      <c r="D290" s="127"/>
      <c r="E290" s="127"/>
      <c r="F290" s="127"/>
      <c r="G290" s="152"/>
      <c r="H290" s="127"/>
      <c r="I290" s="123"/>
      <c r="J290" s="127"/>
    </row>
    <row r="291" spans="1:10" ht="12">
      <c r="A291" s="108"/>
      <c r="B291" s="108"/>
      <c r="C291" s="108"/>
      <c r="D291" s="127"/>
      <c r="E291" s="127"/>
      <c r="F291" s="127"/>
      <c r="G291" s="152"/>
      <c r="H291" s="127"/>
      <c r="I291" s="123"/>
      <c r="J291" s="127"/>
    </row>
    <row r="292" spans="1:10" ht="12">
      <c r="A292" s="108"/>
      <c r="B292" s="108"/>
      <c r="C292" s="108"/>
      <c r="D292" s="127"/>
      <c r="E292" s="127"/>
      <c r="F292" s="127"/>
      <c r="G292" s="152"/>
      <c r="H292" s="127"/>
      <c r="I292" s="123"/>
      <c r="J292" s="127"/>
    </row>
    <row r="293" spans="1:10" ht="12">
      <c r="A293" s="108"/>
      <c r="B293" s="108"/>
      <c r="C293" s="108"/>
      <c r="D293" s="127"/>
      <c r="E293" s="127"/>
      <c r="F293" s="127"/>
      <c r="G293" s="152"/>
      <c r="H293" s="127"/>
      <c r="I293" s="123"/>
      <c r="J293" s="127"/>
    </row>
    <row r="294" spans="1:10" ht="12">
      <c r="A294" s="108"/>
      <c r="B294" s="108"/>
      <c r="C294" s="108"/>
      <c r="D294" s="127"/>
      <c r="E294" s="127"/>
      <c r="F294" s="127"/>
      <c r="G294" s="152"/>
      <c r="H294" s="127"/>
      <c r="I294" s="123"/>
      <c r="J294" s="127"/>
    </row>
    <row r="295" spans="1:10" ht="12">
      <c r="A295" s="108"/>
      <c r="B295" s="108"/>
      <c r="C295" s="108"/>
      <c r="D295" s="127"/>
      <c r="E295" s="127"/>
      <c r="F295" s="127"/>
      <c r="G295" s="152"/>
      <c r="H295" s="127"/>
      <c r="I295" s="123"/>
      <c r="J295" s="127"/>
    </row>
    <row r="296" spans="1:10" ht="12">
      <c r="A296" s="108"/>
      <c r="B296" s="108"/>
      <c r="C296" s="108"/>
      <c r="D296" s="127"/>
      <c r="E296" s="127"/>
      <c r="F296" s="127"/>
      <c r="G296" s="152"/>
      <c r="H296" s="127"/>
      <c r="I296" s="123"/>
      <c r="J296" s="127"/>
    </row>
    <row r="297" spans="1:10" ht="12">
      <c r="A297" s="108"/>
      <c r="B297" s="108"/>
      <c r="C297" s="108"/>
      <c r="D297" s="127"/>
      <c r="E297" s="127"/>
      <c r="F297" s="127"/>
      <c r="G297" s="152"/>
      <c r="H297" s="127"/>
      <c r="I297" s="123"/>
      <c r="J297" s="127"/>
    </row>
    <row r="298" spans="1:10" ht="12">
      <c r="A298" s="108"/>
      <c r="B298" s="108"/>
      <c r="C298" s="108"/>
      <c r="D298" s="127"/>
      <c r="E298" s="127"/>
      <c r="F298" s="127"/>
      <c r="G298" s="152"/>
      <c r="H298" s="127"/>
      <c r="I298" s="123"/>
      <c r="J298" s="127"/>
    </row>
    <row r="299" spans="1:10" ht="12">
      <c r="A299" s="108"/>
      <c r="B299" s="108"/>
      <c r="C299" s="108"/>
      <c r="D299" s="127"/>
      <c r="E299" s="127"/>
      <c r="F299" s="127"/>
      <c r="G299" s="152"/>
      <c r="H299" s="127"/>
      <c r="I299" s="123"/>
      <c r="J299" s="127"/>
    </row>
    <row r="300" spans="1:10" ht="12">
      <c r="A300" s="108"/>
      <c r="B300" s="108"/>
      <c r="C300" s="108"/>
      <c r="D300" s="127"/>
      <c r="E300" s="127"/>
      <c r="F300" s="127"/>
      <c r="G300" s="152"/>
      <c r="H300" s="127"/>
      <c r="I300" s="123"/>
      <c r="J300" s="127"/>
    </row>
    <row r="301" spans="1:10" ht="12">
      <c r="A301" s="108"/>
      <c r="B301" s="108"/>
      <c r="C301" s="108"/>
      <c r="D301" s="127"/>
      <c r="E301" s="127"/>
      <c r="F301" s="127"/>
      <c r="G301" s="152"/>
      <c r="H301" s="127"/>
      <c r="I301" s="123"/>
      <c r="J301" s="127"/>
    </row>
    <row r="302" spans="1:10" ht="12">
      <c r="A302" s="108"/>
      <c r="B302" s="108"/>
      <c r="C302" s="108"/>
      <c r="D302" s="127"/>
      <c r="E302" s="127"/>
      <c r="F302" s="127"/>
      <c r="G302" s="152"/>
      <c r="H302" s="127"/>
      <c r="I302" s="123"/>
      <c r="J302" s="127"/>
    </row>
    <row r="303" spans="1:10" ht="12">
      <c r="A303" s="108"/>
      <c r="B303" s="108"/>
      <c r="C303" s="108"/>
      <c r="D303" s="127"/>
      <c r="E303" s="127"/>
      <c r="F303" s="127"/>
      <c r="G303" s="152"/>
      <c r="H303" s="127"/>
      <c r="I303" s="123"/>
      <c r="J303" s="127"/>
    </row>
    <row r="304" spans="1:10" ht="12">
      <c r="A304" s="108"/>
      <c r="B304" s="108"/>
      <c r="C304" s="108"/>
      <c r="D304" s="127"/>
      <c r="E304" s="127"/>
      <c r="F304" s="127"/>
      <c r="G304" s="152"/>
      <c r="H304" s="127"/>
      <c r="I304" s="123"/>
      <c r="J304" s="127"/>
    </row>
  </sheetData>
  <sheetProtection/>
  <mergeCells count="19">
    <mergeCell ref="I12:I13"/>
    <mergeCell ref="K12:K13"/>
    <mergeCell ref="L12:L13"/>
    <mergeCell ref="F1:I1"/>
    <mergeCell ref="F2:I2"/>
    <mergeCell ref="F3:I3"/>
    <mergeCell ref="A6:I6"/>
    <mergeCell ref="A7:I7"/>
    <mergeCell ref="A8:I8"/>
    <mergeCell ref="A9:I9"/>
    <mergeCell ref="A10:I10"/>
    <mergeCell ref="A12:A13"/>
    <mergeCell ref="B12:B13"/>
    <mergeCell ref="C12:C13"/>
    <mergeCell ref="D12:D13"/>
    <mergeCell ref="E12:E13"/>
    <mergeCell ref="F12:F13"/>
    <mergeCell ref="G12:G13"/>
    <mergeCell ref="H12:H13"/>
  </mergeCells>
  <printOptions/>
  <pageMargins left="0.9055118110236221" right="0" top="0.3937007874015748" bottom="0.5118110236220472" header="0.3937007874015748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Лоскутова Э. В.</dc:creator>
  <cp:keywords/>
  <dc:description/>
  <cp:lastModifiedBy>Home</cp:lastModifiedBy>
  <cp:lastPrinted>2020-07-07T09:46:54Z</cp:lastPrinted>
  <dcterms:created xsi:type="dcterms:W3CDTF">2005-11-24T20:09:25Z</dcterms:created>
  <dcterms:modified xsi:type="dcterms:W3CDTF">2020-12-13T19:22:48Z</dcterms:modified>
  <cp:category/>
  <cp:version/>
  <cp:contentType/>
  <cp:contentStatus/>
</cp:coreProperties>
</file>